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Afdelingen\Demand\FB\0 Arjan\referentieoverzicht\2025\Premieberekening upa 2025\"/>
    </mc:Choice>
  </mc:AlternateContent>
  <xr:revisionPtr revIDLastSave="0" documentId="13_ncr:1_{0629B32F-6834-41B3-84DD-80A7A9AEF111}" xr6:coauthVersionLast="47" xr6:coauthVersionMax="47" xr10:uidLastSave="{00000000-0000-0000-0000-000000000000}"/>
  <workbookProtection workbookAlgorithmName="SHA-512" workbookHashValue="Gyagp+wtDqixTe1LQscZzT6MbR6ZFINQI+fIBsAo3rG7eJc9VVdrpm96gJPTUq3DHhDWtWWArEOrq/bigchfgw==" workbookSaltValue="3uyq2VXZD/1DQIWUzJD5bQ==" workbookSpinCount="100000" lockStructure="1"/>
  <bookViews>
    <workbookView xWindow="57600" yWindow="0" windowWidth="28800" windowHeight="31800" tabRatio="826" xr2:uid="{00000000-000D-0000-FFFF-FFFF00000000}"/>
  </bookViews>
  <sheets>
    <sheet name="Primo" sheetId="1" r:id="rId1"/>
    <sheet name="Ultimo (VCR)" sheetId="10" r:id="rId2"/>
    <sheet name="Ultimo (Zeevisserij)" sheetId="11" r:id="rId3"/>
    <sheet name="Ultimo (ASF)" sheetId="18" r:id="rId4"/>
    <sheet name="Tijdvakken" sheetId="4" r:id="rId5"/>
    <sheet name="Parameters" sheetId="14" r:id="rId6"/>
    <sheet name="Staffels" sheetId="15" r:id="rId7"/>
    <sheet name="Regelingselectie" sheetId="16" r:id="rId8"/>
    <sheet name="Versiebeheer" sheetId="6" r:id="rId9"/>
    <sheet name="Toelichting" sheetId="17" r:id="rId10"/>
  </sheets>
  <definedNames>
    <definedName name="_xlnm._FilterDatabase" localSheetId="5" hidden="1">Parameters!$C$1:$L$76</definedName>
    <definedName name="ASFFranchise">'Ultimo (ASF)'!$G$5</definedName>
    <definedName name="ASFMaxDuur">'Ultimo (ASF)'!$P$6</definedName>
    <definedName name="ASFMaxLoon">'Ultimo (ASF)'!$G$6</definedName>
    <definedName name="ASFPremiePercentage">'Ultimo (ASF)'!$G$7</definedName>
    <definedName name="ASFregeling">'Ultimo (ASF)'!$F$3</definedName>
    <definedName name="ASFTijdvakkenMax">'Ultimo (ASF)'!$P$7</definedName>
    <definedName name="ASFWGafW">'Ultimo (ASF)'!$E$4</definedName>
    <definedName name="ASRTijdvakkenMax">'Ultimo (ASF)'!$P$7</definedName>
    <definedName name="PFranchise">Primo!$G$5</definedName>
    <definedName name="PMaxDuur">Primo!$P$6</definedName>
    <definedName name="PMaxLoon">Primo!$G$6</definedName>
    <definedName name="PPremiePercentage">Primo!$G$7</definedName>
    <definedName name="PRegeling">Primo!$F$3</definedName>
    <definedName name="PTijdvakkenMax">Primo!$P$7</definedName>
    <definedName name="PWGafw">Primo!$E$4</definedName>
    <definedName name="Regelingen">Parameters[Regelingselectie]</definedName>
    <definedName name="RegPrimo">SelPrimo[Primo]</definedName>
    <definedName name="RegUltimoASF">SelUltimoZeevis2[Ultimo (ASF regelingen)]</definedName>
    <definedName name="RegUltimoVCR">SelUltimoVCR[Ultimo (VCR)]</definedName>
    <definedName name="RegUltimoZeevis">SelUltimoZeevis[Ultimo (Zeevisserij)]</definedName>
    <definedName name="TabelTijdvak">Tijdvakken!$B$1:$D$27</definedName>
    <definedName name="UPFranchise" localSheetId="3">'Ultimo (ASF)'!#REF!</definedName>
    <definedName name="UPFranchise" localSheetId="1">'Ultimo (VCR)'!$G$5</definedName>
    <definedName name="UPMaxDuur" localSheetId="3">'Ultimo (ASF)'!#REF!</definedName>
    <definedName name="UPMaxDuur" localSheetId="1">'Ultimo (VCR)'!$P$6</definedName>
    <definedName name="UPMaxLoon" localSheetId="3">'Ultimo (ASF)'!#REF!</definedName>
    <definedName name="UPMaxLoon" localSheetId="1">'Ultimo (VCR)'!$G$6</definedName>
    <definedName name="UPNormWeek" localSheetId="1">'Ultimo (VCR)'!$P$4</definedName>
    <definedName name="UPPremiePercentage" localSheetId="3">'Ultimo (ASF)'!#REF!</definedName>
    <definedName name="UPPremiePercentage" localSheetId="1">'Ultimo (VCR)'!$G$7</definedName>
    <definedName name="UPRegeling">'Ultimo (VCR)'!$F$3</definedName>
    <definedName name="UPTijdvakkenMax" localSheetId="3">'Ultimo (ASF)'!#REF!</definedName>
    <definedName name="UPTijdvakkenMax" localSheetId="1">'Ultimo (VCR)'!$P$7</definedName>
    <definedName name="UPWGafw">'Ultimo (VCR)'!$E$4</definedName>
    <definedName name="ZFranchise">'Ultimo (Zeevisserij)'!$G$5</definedName>
    <definedName name="ZMaxDuur">'Ultimo (Zeevisserij)'!$P$6</definedName>
    <definedName name="ZMaxLoon">'Ultimo (Zeevisserij)'!$G$6</definedName>
    <definedName name="ZPremiePercentage">'Ultimo (Zeevisserij)'!$G$7</definedName>
    <definedName name="ZRegeling">'Ultimo (Zeevisserij)'!$F$3</definedName>
    <definedName name="ZTijdvakkenMax">'Ultimo (Zeevisserij)'!$P$7</definedName>
    <definedName name="ZWGafw">'Ultimo (Zeevisserij)'!$E$4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4" l="1"/>
  <c r="H63" i="14"/>
  <c r="H62" i="14"/>
  <c r="K64" i="14"/>
  <c r="K63" i="14"/>
  <c r="K62" i="14"/>
  <c r="D21" i="18" l="1"/>
  <c r="G64" i="14"/>
  <c r="G63" i="14"/>
  <c r="G62" i="14"/>
  <c r="K44" i="14"/>
  <c r="C22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C19" i="18"/>
  <c r="P10" i="18" l="1"/>
  <c r="P12" i="18" s="1"/>
  <c r="O10" i="18"/>
  <c r="O12" i="18" s="1"/>
  <c r="N10" i="18"/>
  <c r="N11" i="18" s="1"/>
  <c r="M10" i="18"/>
  <c r="M11" i="18" s="1"/>
  <c r="L10" i="18"/>
  <c r="L11" i="18" s="1"/>
  <c r="K10" i="18"/>
  <c r="K11" i="18" s="1"/>
  <c r="J10" i="18"/>
  <c r="J11" i="18" s="1"/>
  <c r="I10" i="18"/>
  <c r="I12" i="18" s="1"/>
  <c r="H10" i="18"/>
  <c r="H12" i="18" s="1"/>
  <c r="G10" i="18"/>
  <c r="G12" i="18" s="1"/>
  <c r="F10" i="18"/>
  <c r="F11" i="18" s="1"/>
  <c r="E10" i="18"/>
  <c r="E11" i="18" s="1"/>
  <c r="D10" i="18"/>
  <c r="D11" i="18" s="1"/>
  <c r="P7" i="18"/>
  <c r="P6" i="18"/>
  <c r="E22" i="18" l="1"/>
  <c r="I22" i="18"/>
  <c r="P22" i="18"/>
  <c r="H22" i="18"/>
  <c r="L22" i="18"/>
  <c r="O22" i="18"/>
  <c r="G22" i="18"/>
  <c r="K22" i="18"/>
  <c r="J22" i="18"/>
  <c r="N22" i="18"/>
  <c r="F22" i="18"/>
  <c r="M22" i="18"/>
  <c r="D22" i="18"/>
  <c r="G11" i="18"/>
  <c r="G14" i="18" s="1"/>
  <c r="H11" i="18"/>
  <c r="H14" i="18" s="1"/>
  <c r="O11" i="18"/>
  <c r="O15" i="18" s="1"/>
  <c r="P11" i="18"/>
  <c r="P15" i="18" s="1"/>
  <c r="J12" i="18"/>
  <c r="J15" i="18" s="1"/>
  <c r="K12" i="18"/>
  <c r="K15" i="18" s="1"/>
  <c r="H39" i="18"/>
  <c r="H38" i="18" s="1"/>
  <c r="I11" i="18"/>
  <c r="D12" i="18"/>
  <c r="L12" i="18"/>
  <c r="E12" i="18"/>
  <c r="M12" i="18"/>
  <c r="F12" i="18"/>
  <c r="N12" i="18"/>
  <c r="P14" i="18" l="1"/>
  <c r="G15" i="18"/>
  <c r="H15" i="18"/>
  <c r="O14" i="18"/>
  <c r="K14" i="18"/>
  <c r="J14" i="18"/>
  <c r="D14" i="18"/>
  <c r="D15" i="18"/>
  <c r="F15" i="18"/>
  <c r="F14" i="18"/>
  <c r="N15" i="18"/>
  <c r="N14" i="18"/>
  <c r="M15" i="18"/>
  <c r="M14" i="18"/>
  <c r="I14" i="18"/>
  <c r="L14" i="18"/>
  <c r="L15" i="18"/>
  <c r="E15" i="18"/>
  <c r="E14" i="18"/>
  <c r="I15" i="18"/>
  <c r="A72" i="14" l="1"/>
  <c r="A71" i="14"/>
  <c r="A76" i="14"/>
  <c r="A75" i="14"/>
  <c r="A66" i="14"/>
  <c r="A63" i="14"/>
  <c r="K41" i="14" l="1"/>
  <c r="G9" i="14" l="1"/>
  <c r="A48" i="14"/>
  <c r="A49" i="14"/>
  <c r="A53" i="14" l="1"/>
  <c r="A60" i="14"/>
  <c r="A61" i="14"/>
  <c r="A57" i="14"/>
  <c r="A55" i="14"/>
  <c r="A51" i="14"/>
  <c r="A2" i="14"/>
  <c r="D51" i="10" s="1"/>
  <c r="A3" i="14"/>
  <c r="A4" i="14"/>
  <c r="A5" i="14"/>
  <c r="A6" i="14"/>
  <c r="A7" i="14"/>
  <c r="A8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50" i="14"/>
  <c r="A52" i="14"/>
  <c r="A54" i="14"/>
  <c r="A56" i="14"/>
  <c r="A58" i="14"/>
  <c r="A59" i="14"/>
  <c r="A62" i="14"/>
  <c r="A64" i="14"/>
  <c r="A65" i="14"/>
  <c r="A67" i="14"/>
  <c r="A68" i="14"/>
  <c r="A69" i="14"/>
  <c r="A70" i="14"/>
  <c r="A73" i="14"/>
  <c r="A74" i="14"/>
  <c r="K28" i="14"/>
  <c r="G8" i="14"/>
  <c r="G7" i="14"/>
  <c r="G6" i="14"/>
  <c r="G5" i="14"/>
  <c r="E7" i="18" l="1"/>
  <c r="E6" i="18"/>
  <c r="E5" i="18"/>
  <c r="E3" i="18"/>
  <c r="E4" i="18" s="1"/>
  <c r="C6" i="18"/>
  <c r="I3" i="18"/>
  <c r="D50" i="10"/>
  <c r="H44" i="14"/>
  <c r="K45" i="14"/>
  <c r="G44" i="14"/>
  <c r="H41" i="14"/>
  <c r="G41" i="14"/>
  <c r="K42" i="14" s="1"/>
  <c r="K38" i="14"/>
  <c r="H38" i="14"/>
  <c r="K39" i="14"/>
  <c r="G38" i="14"/>
  <c r="K36" i="14"/>
  <c r="K35" i="14"/>
  <c r="K34" i="14"/>
  <c r="H35" i="14"/>
  <c r="H34" i="14"/>
  <c r="G35" i="14"/>
  <c r="G34" i="14"/>
  <c r="H32" i="14"/>
  <c r="G42" i="14"/>
  <c r="G39" i="14"/>
  <c r="G36" i="14"/>
  <c r="G33" i="14"/>
  <c r="K32" i="14"/>
  <c r="K33" i="14"/>
  <c r="G32" i="14"/>
  <c r="G7" i="18" l="1"/>
  <c r="G5" i="18"/>
  <c r="G6" i="18"/>
  <c r="G26" i="14"/>
  <c r="C6" i="10"/>
  <c r="N24" i="18" l="1"/>
  <c r="D25" i="18"/>
  <c r="L25" i="18"/>
  <c r="I24" i="18"/>
  <c r="F24" i="18"/>
  <c r="O25" i="18"/>
  <c r="P24" i="18"/>
  <c r="M25" i="18"/>
  <c r="J24" i="18"/>
  <c r="I25" i="18"/>
  <c r="G25" i="18"/>
  <c r="H24" i="18"/>
  <c r="D24" i="18"/>
  <c r="P25" i="18"/>
  <c r="F25" i="18"/>
  <c r="L24" i="18"/>
  <c r="M24" i="18"/>
  <c r="K24" i="18"/>
  <c r="K25" i="18"/>
  <c r="E24" i="18"/>
  <c r="O24" i="18"/>
  <c r="N25" i="18"/>
  <c r="G24" i="18"/>
  <c r="H25" i="18"/>
  <c r="J25" i="18"/>
  <c r="E25" i="18"/>
  <c r="D27" i="18"/>
  <c r="D28" i="18"/>
  <c r="K28" i="18"/>
  <c r="P28" i="18"/>
  <c r="P30" i="18" s="1"/>
  <c r="N28" i="18"/>
  <c r="I27" i="18"/>
  <c r="P27" i="18"/>
  <c r="I28" i="18"/>
  <c r="I30" i="18" s="1"/>
  <c r="N27" i="18"/>
  <c r="L27" i="18"/>
  <c r="F27" i="18"/>
  <c r="H28" i="18"/>
  <c r="F28" i="18"/>
  <c r="F30" i="18" s="1"/>
  <c r="J28" i="18"/>
  <c r="H27" i="18"/>
  <c r="M28" i="18"/>
  <c r="O28" i="18"/>
  <c r="J27" i="18"/>
  <c r="L28" i="18"/>
  <c r="M27" i="18"/>
  <c r="K27" i="18"/>
  <c r="O27" i="18"/>
  <c r="E27" i="18"/>
  <c r="G27" i="18"/>
  <c r="E28" i="18"/>
  <c r="G28" i="18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P7" i="11"/>
  <c r="G30" i="18" l="1"/>
  <c r="G32" i="18" s="1"/>
  <c r="G33" i="18" s="1"/>
  <c r="D30" i="18"/>
  <c r="D32" i="18" s="1"/>
  <c r="D33" i="18" s="1"/>
  <c r="D34" i="18" s="1"/>
  <c r="E30" i="18"/>
  <c r="F32" i="18" s="1"/>
  <c r="F33" i="18" s="1"/>
  <c r="H30" i="18"/>
  <c r="I32" i="18" s="1"/>
  <c r="I33" i="18" s="1"/>
  <c r="L30" i="18"/>
  <c r="K30" i="18"/>
  <c r="M30" i="18"/>
  <c r="J30" i="18"/>
  <c r="J32" i="18" s="1"/>
  <c r="J33" i="18" s="1"/>
  <c r="N30" i="18"/>
  <c r="O30" i="18"/>
  <c r="P32" i="18" s="1"/>
  <c r="P33" i="18" s="1"/>
  <c r="J38" i="1"/>
  <c r="C41" i="1"/>
  <c r="H32" i="18" l="1"/>
  <c r="H33" i="18" s="1"/>
  <c r="L32" i="18"/>
  <c r="L33" i="18" s="1"/>
  <c r="E32" i="18"/>
  <c r="E33" i="18" s="1"/>
  <c r="E34" i="18" s="1"/>
  <c r="M32" i="18"/>
  <c r="M33" i="18" s="1"/>
  <c r="O32" i="18"/>
  <c r="O33" i="18" s="1"/>
  <c r="N32" i="18"/>
  <c r="N33" i="18" s="1"/>
  <c r="K32" i="18"/>
  <c r="K33" i="18" s="1"/>
  <c r="P5" i="11"/>
  <c r="C22" i="11" s="1"/>
  <c r="E7" i="11"/>
  <c r="E6" i="11"/>
  <c r="E3" i="11"/>
  <c r="E4" i="11" s="1"/>
  <c r="E5" i="11"/>
  <c r="I3" i="11"/>
  <c r="D39" i="1"/>
  <c r="H40" i="1" s="1"/>
  <c r="D40" i="1"/>
  <c r="J34" i="18" l="1"/>
  <c r="L34" i="18"/>
  <c r="G34" i="18"/>
  <c r="H34" i="18"/>
  <c r="I34" i="18"/>
  <c r="F34" i="18"/>
  <c r="M34" i="18"/>
  <c r="N34" i="18"/>
  <c r="K34" i="18"/>
  <c r="P34" i="18"/>
  <c r="O34" i="18"/>
  <c r="C19" i="11"/>
  <c r="C6" i="11"/>
  <c r="P6" i="11"/>
  <c r="B19" i="11"/>
  <c r="G5" i="11"/>
  <c r="G6" i="11"/>
  <c r="G7" i="11"/>
  <c r="I22" i="11" l="1"/>
  <c r="I28" i="11" s="1"/>
  <c r="L22" i="11"/>
  <c r="L25" i="11" s="1"/>
  <c r="P22" i="11"/>
  <c r="P25" i="11" s="1"/>
  <c r="G22" i="11"/>
  <c r="G28" i="11" s="1"/>
  <c r="H22" i="11"/>
  <c r="H28" i="11" s="1"/>
  <c r="M22" i="11"/>
  <c r="M28" i="11" s="1"/>
  <c r="D22" i="11"/>
  <c r="D28" i="11" s="1"/>
  <c r="K22" i="11"/>
  <c r="K28" i="11" s="1"/>
  <c r="E22" i="11"/>
  <c r="E28" i="11" s="1"/>
  <c r="J22" i="11"/>
  <c r="J28" i="11" s="1"/>
  <c r="F22" i="11"/>
  <c r="F25" i="11" s="1"/>
  <c r="N22" i="11"/>
  <c r="N28" i="11" s="1"/>
  <c r="O22" i="11"/>
  <c r="O25" i="11" s="1"/>
  <c r="P27" i="11"/>
  <c r="O27" i="11"/>
  <c r="N27" i="11"/>
  <c r="L27" i="11"/>
  <c r="J27" i="11"/>
  <c r="E27" i="11"/>
  <c r="D27" i="11"/>
  <c r="M27" i="11"/>
  <c r="K27" i="11"/>
  <c r="I27" i="11"/>
  <c r="H27" i="11"/>
  <c r="G27" i="11"/>
  <c r="F27" i="11"/>
  <c r="I24" i="11"/>
  <c r="L24" i="11"/>
  <c r="G24" i="11"/>
  <c r="H24" i="11"/>
  <c r="M24" i="11"/>
  <c r="P24" i="11"/>
  <c r="K24" i="11"/>
  <c r="F24" i="11"/>
  <c r="E24" i="11"/>
  <c r="N24" i="11"/>
  <c r="D24" i="11"/>
  <c r="O24" i="11"/>
  <c r="J24" i="11"/>
  <c r="E3" i="1"/>
  <c r="E4" i="1" s="1"/>
  <c r="E7" i="1"/>
  <c r="E6" i="1"/>
  <c r="E5" i="1"/>
  <c r="C6" i="1"/>
  <c r="P10" i="1"/>
  <c r="P11" i="1" s="1"/>
  <c r="O10" i="1"/>
  <c r="O11" i="1" s="1"/>
  <c r="N10" i="1"/>
  <c r="N11" i="1" s="1"/>
  <c r="M10" i="1"/>
  <c r="M11" i="1" s="1"/>
  <c r="L10" i="1"/>
  <c r="L11" i="1" s="1"/>
  <c r="K10" i="1"/>
  <c r="K11" i="1" s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P7" i="1"/>
  <c r="P6" i="1"/>
  <c r="I3" i="1"/>
  <c r="N25" i="11" l="1"/>
  <c r="N30" i="11" s="1"/>
  <c r="G25" i="11"/>
  <c r="G30" i="11" s="1"/>
  <c r="K25" i="11"/>
  <c r="K30" i="11" s="1"/>
  <c r="H25" i="11"/>
  <c r="H30" i="11" s="1"/>
  <c r="E25" i="11"/>
  <c r="E30" i="11" s="1"/>
  <c r="F28" i="11"/>
  <c r="F30" i="11" s="1"/>
  <c r="O28" i="11"/>
  <c r="O30" i="11" s="1"/>
  <c r="D25" i="11"/>
  <c r="P28" i="11"/>
  <c r="P30" i="11" s="1"/>
  <c r="J25" i="11"/>
  <c r="J30" i="11" s="1"/>
  <c r="I25" i="11"/>
  <c r="I30" i="11" s="1"/>
  <c r="L28" i="11"/>
  <c r="L30" i="11" s="1"/>
  <c r="M25" i="11"/>
  <c r="M30" i="11" s="1"/>
  <c r="G5" i="1"/>
  <c r="G6" i="1"/>
  <c r="J32" i="11" l="1"/>
  <c r="J33" i="11" s="1"/>
  <c r="K32" i="11"/>
  <c r="K33" i="11" s="1"/>
  <c r="L32" i="11"/>
  <c r="L33" i="11" s="1"/>
  <c r="P32" i="11"/>
  <c r="P33" i="11" s="1"/>
  <c r="F32" i="11"/>
  <c r="F33" i="11" s="1"/>
  <c r="G32" i="11"/>
  <c r="G33" i="11" s="1"/>
  <c r="I32" i="11"/>
  <c r="I33" i="11" s="1"/>
  <c r="O32" i="11"/>
  <c r="O33" i="11" s="1"/>
  <c r="H32" i="11"/>
  <c r="H33" i="11" s="1"/>
  <c r="M32" i="11"/>
  <c r="M33" i="11" s="1"/>
  <c r="N32" i="11"/>
  <c r="N33" i="11" s="1"/>
  <c r="C52" i="10"/>
  <c r="E5" i="10" l="1"/>
  <c r="E3" i="10"/>
  <c r="E4" i="10" s="1"/>
  <c r="J49" i="10"/>
  <c r="E7" i="10"/>
  <c r="E6" i="10"/>
  <c r="I3" i="10"/>
  <c r="D21" i="11"/>
  <c r="P12" i="11"/>
  <c r="O12" i="11"/>
  <c r="N12" i="11"/>
  <c r="M11" i="11"/>
  <c r="L12" i="11"/>
  <c r="K12" i="11"/>
  <c r="J12" i="11"/>
  <c r="I11" i="11"/>
  <c r="H12" i="11"/>
  <c r="G12" i="11"/>
  <c r="F12" i="11"/>
  <c r="E11" i="11"/>
  <c r="D12" i="11"/>
  <c r="G6" i="10" l="1"/>
  <c r="G5" i="10"/>
  <c r="H51" i="10"/>
  <c r="F11" i="11"/>
  <c r="F14" i="11" s="1"/>
  <c r="J11" i="11"/>
  <c r="J15" i="11" s="1"/>
  <c r="N11" i="11"/>
  <c r="N14" i="11" s="1"/>
  <c r="E12" i="11"/>
  <c r="I12" i="11"/>
  <c r="M12" i="11"/>
  <c r="G11" i="11"/>
  <c r="G15" i="11" s="1"/>
  <c r="K11" i="11"/>
  <c r="K15" i="11" s="1"/>
  <c r="O11" i="11"/>
  <c r="O14" i="11" s="1"/>
  <c r="D11" i="11"/>
  <c r="D15" i="11" s="1"/>
  <c r="H11" i="11"/>
  <c r="H15" i="11" s="1"/>
  <c r="L11" i="11"/>
  <c r="L14" i="11" s="1"/>
  <c r="P11" i="11"/>
  <c r="P14" i="11" s="1"/>
  <c r="K14" i="11" l="1"/>
  <c r="L15" i="11"/>
  <c r="O15" i="11"/>
  <c r="P15" i="11"/>
  <c r="F15" i="11"/>
  <c r="J14" i="11"/>
  <c r="I15" i="11"/>
  <c r="I14" i="11"/>
  <c r="N15" i="11"/>
  <c r="M15" i="11"/>
  <c r="M14" i="11"/>
  <c r="E15" i="11"/>
  <c r="E14" i="11"/>
  <c r="H14" i="11"/>
  <c r="G14" i="11"/>
  <c r="D14" i="11"/>
  <c r="D30" i="11"/>
  <c r="D32" i="11" l="1"/>
  <c r="D33" i="11" s="1"/>
  <c r="E32" i="11"/>
  <c r="E33" i="11" s="1"/>
  <c r="P22" i="10"/>
  <c r="O22" i="10"/>
  <c r="N22" i="10"/>
  <c r="M22" i="10"/>
  <c r="L22" i="10"/>
  <c r="K22" i="10"/>
  <c r="J22" i="10"/>
  <c r="I22" i="10"/>
  <c r="H22" i="10"/>
  <c r="G22" i="10"/>
  <c r="F22" i="10"/>
  <c r="E22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P34" i="11" l="1"/>
  <c r="L34" i="11"/>
  <c r="H34" i="11"/>
  <c r="O34" i="11"/>
  <c r="K34" i="11"/>
  <c r="G34" i="11"/>
  <c r="N34" i="11"/>
  <c r="J34" i="11"/>
  <c r="F34" i="11"/>
  <c r="M34" i="11"/>
  <c r="I34" i="11"/>
  <c r="E34" i="11"/>
  <c r="D34" i="11"/>
  <c r="D22" i="10"/>
  <c r="D21" i="10"/>
  <c r="P12" i="10"/>
  <c r="O11" i="10"/>
  <c r="N12" i="10"/>
  <c r="M12" i="10"/>
  <c r="L12" i="10"/>
  <c r="K11" i="10"/>
  <c r="J12" i="10"/>
  <c r="I12" i="10"/>
  <c r="H12" i="10"/>
  <c r="G11" i="10"/>
  <c r="F12" i="10"/>
  <c r="E12" i="10"/>
  <c r="D12" i="10"/>
  <c r="P7" i="10"/>
  <c r="P6" i="10"/>
  <c r="D11" i="10" l="1"/>
  <c r="H11" i="10"/>
  <c r="L11" i="10"/>
  <c r="P11" i="10"/>
  <c r="G12" i="10"/>
  <c r="K12" i="10"/>
  <c r="O12" i="10"/>
  <c r="E11" i="10"/>
  <c r="I11" i="10"/>
  <c r="M11" i="10"/>
  <c r="F11" i="10"/>
  <c r="J11" i="10"/>
  <c r="N11" i="10"/>
  <c r="D14" i="10" l="1"/>
  <c r="H48" i="10"/>
  <c r="H47" i="10" s="1"/>
  <c r="H49" i="10" s="1"/>
  <c r="H50" i="10" s="1"/>
  <c r="H52" i="10" s="1"/>
  <c r="G7" i="10" s="1"/>
  <c r="M14" i="10"/>
  <c r="N14" i="10"/>
  <c r="I14" i="10"/>
  <c r="E14" i="10"/>
  <c r="P14" i="10"/>
  <c r="F14" i="10"/>
  <c r="I15" i="10"/>
  <c r="O15" i="10"/>
  <c r="O14" i="10"/>
  <c r="J14" i="10"/>
  <c r="G15" i="10"/>
  <c r="G14" i="10"/>
  <c r="J15" i="10"/>
  <c r="M15" i="10"/>
  <c r="E15" i="10"/>
  <c r="P15" i="10"/>
  <c r="H15" i="10"/>
  <c r="N15" i="10"/>
  <c r="L14" i="10"/>
  <c r="L15" i="10"/>
  <c r="D15" i="10"/>
  <c r="K15" i="10"/>
  <c r="K14" i="10"/>
  <c r="H14" i="10"/>
  <c r="F15" i="10"/>
  <c r="D24" i="10" l="1"/>
  <c r="D25" i="10" s="1"/>
  <c r="F24" i="10"/>
  <c r="F26" i="10" s="1"/>
  <c r="H24" i="10"/>
  <c r="H26" i="10" s="1"/>
  <c r="E24" i="10"/>
  <c r="L24" i="10"/>
  <c r="L26" i="10" s="1"/>
  <c r="M24" i="10"/>
  <c r="M26" i="10" s="1"/>
  <c r="J24" i="10"/>
  <c r="J26" i="10" s="1"/>
  <c r="I24" i="10"/>
  <c r="I26" i="10" s="1"/>
  <c r="O24" i="10"/>
  <c r="O26" i="10" s="1"/>
  <c r="P24" i="10"/>
  <c r="P26" i="10" s="1"/>
  <c r="G24" i="10"/>
  <c r="G26" i="10" s="1"/>
  <c r="N24" i="10"/>
  <c r="N26" i="10" s="1"/>
  <c r="K24" i="10"/>
  <c r="K26" i="10" s="1"/>
  <c r="D32" i="10" l="1"/>
  <c r="D33" i="10" s="1"/>
  <c r="D35" i="10"/>
  <c r="D36" i="10" s="1"/>
  <c r="D26" i="10"/>
  <c r="E25" i="10"/>
  <c r="I35" i="10"/>
  <c r="E35" i="10"/>
  <c r="E26" i="10"/>
  <c r="F32" i="10"/>
  <c r="M32" i="10"/>
  <c r="E32" i="10"/>
  <c r="O32" i="10"/>
  <c r="F25" i="10"/>
  <c r="F35" i="10"/>
  <c r="M35" i="10"/>
  <c r="P35" i="10"/>
  <c r="P32" i="10"/>
  <c r="O25" i="10"/>
  <c r="H25" i="10"/>
  <c r="K25" i="10"/>
  <c r="J25" i="10"/>
  <c r="I32" i="10"/>
  <c r="L25" i="10"/>
  <c r="I25" i="10"/>
  <c r="N32" i="10"/>
  <c r="P25" i="10"/>
  <c r="M25" i="10"/>
  <c r="G25" i="10"/>
  <c r="N35" i="10"/>
  <c r="N25" i="10"/>
  <c r="H35" i="10"/>
  <c r="L35" i="10"/>
  <c r="J32" i="10"/>
  <c r="K32" i="10"/>
  <c r="L32" i="10"/>
  <c r="K35" i="10"/>
  <c r="J35" i="10"/>
  <c r="O35" i="10"/>
  <c r="H32" i="10"/>
  <c r="G32" i="10"/>
  <c r="G35" i="10"/>
  <c r="D27" i="10" l="1"/>
  <c r="D29" i="10" s="1"/>
  <c r="D30" i="10" s="1"/>
  <c r="E36" i="10"/>
  <c r="P27" i="10"/>
  <c r="F36" i="10"/>
  <c r="G27" i="10"/>
  <c r="G29" i="10" s="1"/>
  <c r="G30" i="10" s="1"/>
  <c r="E27" i="10"/>
  <c r="E29" i="10" s="1"/>
  <c r="E30" i="10" s="1"/>
  <c r="F33" i="10"/>
  <c r="M27" i="10"/>
  <c r="K27" i="10"/>
  <c r="J27" i="10"/>
  <c r="J29" i="10" s="1"/>
  <c r="J30" i="10" s="1"/>
  <c r="L27" i="10"/>
  <c r="G33" i="10"/>
  <c r="F27" i="10"/>
  <c r="F29" i="10" s="1"/>
  <c r="F30" i="10" s="1"/>
  <c r="O27" i="10"/>
  <c r="I27" i="10"/>
  <c r="I29" i="10" s="1"/>
  <c r="I30" i="10" s="1"/>
  <c r="N27" i="10"/>
  <c r="H27" i="10"/>
  <c r="H29" i="10" s="1"/>
  <c r="H30" i="10" s="1"/>
  <c r="E33" i="10"/>
  <c r="O33" i="10"/>
  <c r="I33" i="10"/>
  <c r="H33" i="10"/>
  <c r="K33" i="10"/>
  <c r="M36" i="10"/>
  <c r="P33" i="10"/>
  <c r="J33" i="10"/>
  <c r="O36" i="10"/>
  <c r="N33" i="10"/>
  <c r="J36" i="10"/>
  <c r="P36" i="10"/>
  <c r="N36" i="10"/>
  <c r="G36" i="10"/>
  <c r="H36" i="10"/>
  <c r="I36" i="10"/>
  <c r="L33" i="10"/>
  <c r="M33" i="10"/>
  <c r="K36" i="10"/>
  <c r="L36" i="10"/>
  <c r="N29" i="10" l="1"/>
  <c r="N30" i="10" s="1"/>
  <c r="M29" i="10"/>
  <c r="M30" i="10" s="1"/>
  <c r="L29" i="10"/>
  <c r="L30" i="10" s="1"/>
  <c r="P29" i="10"/>
  <c r="P30" i="10" s="1"/>
  <c r="O29" i="10"/>
  <c r="O30" i="10" s="1"/>
  <c r="K29" i="10"/>
  <c r="K30" i="10" s="1"/>
  <c r="E38" i="10"/>
  <c r="E39" i="10" s="1"/>
  <c r="I38" i="10"/>
  <c r="I39" i="10" s="1"/>
  <c r="H38" i="10"/>
  <c r="H39" i="10" s="1"/>
  <c r="D38" i="10"/>
  <c r="N12" i="1"/>
  <c r="M12" i="1"/>
  <c r="L12" i="1"/>
  <c r="K12" i="1"/>
  <c r="H12" i="1"/>
  <c r="D11" i="1"/>
  <c r="H37" i="1" s="1"/>
  <c r="H36" i="1" s="1"/>
  <c r="H38" i="1" s="1"/>
  <c r="H39" i="1" s="1"/>
  <c r="H41" i="1" s="1"/>
  <c r="G7" i="1" s="1"/>
  <c r="M15" i="1" l="1"/>
  <c r="M14" i="1"/>
  <c r="H15" i="1"/>
  <c r="H14" i="1"/>
  <c r="K15" i="1"/>
  <c r="K14" i="1"/>
  <c r="N15" i="1"/>
  <c r="N14" i="1"/>
  <c r="L15" i="1"/>
  <c r="L14" i="1"/>
  <c r="P38" i="10"/>
  <c r="P39" i="10" s="1"/>
  <c r="D39" i="10"/>
  <c r="D41" i="10" s="1"/>
  <c r="D42" i="10" s="1"/>
  <c r="N38" i="10"/>
  <c r="N39" i="10" s="1"/>
  <c r="G38" i="10"/>
  <c r="F38" i="10"/>
  <c r="J38" i="10"/>
  <c r="M38" i="10"/>
  <c r="L38" i="10"/>
  <c r="L39" i="10" s="1"/>
  <c r="K38" i="10"/>
  <c r="K39" i="10" s="1"/>
  <c r="O38" i="10"/>
  <c r="I41" i="10"/>
  <c r="I42" i="10" s="1"/>
  <c r="G12" i="1"/>
  <c r="E12" i="1"/>
  <c r="J12" i="1"/>
  <c r="P12" i="1"/>
  <c r="D12" i="1"/>
  <c r="I12" i="1"/>
  <c r="O12" i="1"/>
  <c r="F12" i="1"/>
  <c r="F15" i="1" l="1"/>
  <c r="F14" i="1"/>
  <c r="P15" i="1"/>
  <c r="P14" i="1"/>
  <c r="O15" i="1"/>
  <c r="O14" i="1"/>
  <c r="O25" i="1" s="1"/>
  <c r="O26" i="1" s="1"/>
  <c r="I15" i="1"/>
  <c r="I14" i="1"/>
  <c r="I25" i="1" s="1"/>
  <c r="I26" i="1" s="1"/>
  <c r="E15" i="1"/>
  <c r="E14" i="1"/>
  <c r="J15" i="1"/>
  <c r="J14" i="1"/>
  <c r="G15" i="1"/>
  <c r="G14" i="1"/>
  <c r="D14" i="1"/>
  <c r="D25" i="1" s="1"/>
  <c r="D26" i="1" s="1"/>
  <c r="D15" i="1"/>
  <c r="E41" i="10"/>
  <c r="E42" i="10" s="1"/>
  <c r="E77" i="10" s="1"/>
  <c r="D43" i="10"/>
  <c r="D77" i="10"/>
  <c r="G39" i="10"/>
  <c r="H41" i="10" s="1"/>
  <c r="H42" i="10" s="1"/>
  <c r="H77" i="10" s="1"/>
  <c r="O39" i="10"/>
  <c r="O41" i="10" s="1"/>
  <c r="O42" i="10" s="1"/>
  <c r="J39" i="10"/>
  <c r="K41" i="10" s="1"/>
  <c r="K42" i="10" s="1"/>
  <c r="K77" i="10" s="1"/>
  <c r="M39" i="10"/>
  <c r="N41" i="10" s="1"/>
  <c r="N42" i="10" s="1"/>
  <c r="F39" i="10"/>
  <c r="F41" i="10" s="1"/>
  <c r="F42" i="10" s="1"/>
  <c r="L41" i="10"/>
  <c r="L42" i="10" s="1"/>
  <c r="I77" i="10"/>
  <c r="H25" i="1"/>
  <c r="H26" i="1" s="1"/>
  <c r="K25" i="1"/>
  <c r="K26" i="1" s="1"/>
  <c r="L25" i="1"/>
  <c r="L26" i="1" s="1"/>
  <c r="N25" i="1"/>
  <c r="N26" i="1" s="1"/>
  <c r="M25" i="1"/>
  <c r="M26" i="1" s="1"/>
  <c r="P41" i="10" l="1"/>
  <c r="P42" i="10" s="1"/>
  <c r="P77" i="10" s="1"/>
  <c r="E43" i="10"/>
  <c r="F43" i="10"/>
  <c r="M41" i="10"/>
  <c r="M42" i="10" s="1"/>
  <c r="M77" i="10" s="1"/>
  <c r="G41" i="10"/>
  <c r="G42" i="10" s="1"/>
  <c r="G77" i="10" s="1"/>
  <c r="N77" i="10"/>
  <c r="J41" i="10"/>
  <c r="J42" i="10" s="1"/>
  <c r="J77" i="10" s="1"/>
  <c r="F77" i="10"/>
  <c r="L77" i="10"/>
  <c r="L21" i="1"/>
  <c r="L22" i="1" s="1"/>
  <c r="O77" i="10"/>
  <c r="E25" i="1"/>
  <c r="E26" i="1" s="1"/>
  <c r="E21" i="1"/>
  <c r="J25" i="1"/>
  <c r="J26" i="1" s="1"/>
  <c r="J21" i="1"/>
  <c r="P25" i="1"/>
  <c r="P26" i="1" s="1"/>
  <c r="P21" i="1"/>
  <c r="K21" i="1"/>
  <c r="N21" i="1"/>
  <c r="I21" i="1"/>
  <c r="G25" i="1"/>
  <c r="G26" i="1" s="1"/>
  <c r="G21" i="1"/>
  <c r="H21" i="1"/>
  <c r="F25" i="1"/>
  <c r="F26" i="1" s="1"/>
  <c r="F21" i="1"/>
  <c r="O21" i="1"/>
  <c r="M21" i="1"/>
  <c r="D21" i="1"/>
  <c r="M22" i="1" l="1"/>
  <c r="M23" i="1" s="1"/>
  <c r="M27" i="1" s="1"/>
  <c r="H22" i="1"/>
  <c r="H23" i="1" s="1"/>
  <c r="H27" i="1" s="1"/>
  <c r="N22" i="1"/>
  <c r="N23" i="1" s="1"/>
  <c r="N27" i="1" s="1"/>
  <c r="J22" i="1"/>
  <c r="J23" i="1" s="1"/>
  <c r="J27" i="1" s="1"/>
  <c r="K22" i="1"/>
  <c r="K23" i="1" s="1"/>
  <c r="K27" i="1" s="1"/>
  <c r="D22" i="1"/>
  <c r="D23" i="1" s="1"/>
  <c r="D27" i="1" s="1"/>
  <c r="I22" i="1"/>
  <c r="I23" i="1" s="1"/>
  <c r="I27" i="1" s="1"/>
  <c r="O22" i="1"/>
  <c r="O23" i="1" s="1"/>
  <c r="O27" i="1" s="1"/>
  <c r="G22" i="1"/>
  <c r="G23" i="1" s="1"/>
  <c r="G27" i="1" s="1"/>
  <c r="F22" i="1"/>
  <c r="F23" i="1" s="1"/>
  <c r="F27" i="1" s="1"/>
  <c r="P22" i="1"/>
  <c r="P23" i="1" s="1"/>
  <c r="P27" i="1" s="1"/>
  <c r="E22" i="1"/>
  <c r="E23" i="1" s="1"/>
  <c r="E27" i="1" s="1"/>
  <c r="L43" i="10"/>
  <c r="H43" i="10"/>
  <c r="O43" i="10"/>
  <c r="J43" i="10"/>
  <c r="I43" i="10"/>
  <c r="M43" i="10"/>
  <c r="P43" i="10"/>
  <c r="K43" i="10"/>
  <c r="G43" i="10"/>
  <c r="N43" i="10"/>
  <c r="L23" i="1"/>
  <c r="L27" i="1" s="1"/>
  <c r="L30" i="1" l="1"/>
  <c r="L31" i="1" s="1"/>
  <c r="L28" i="1"/>
  <c r="P30" i="1"/>
  <c r="P31" i="1" s="1"/>
  <c r="P28" i="1"/>
  <c r="J30" i="1"/>
  <c r="J31" i="1" s="1"/>
  <c r="J28" i="1"/>
  <c r="E30" i="1"/>
  <c r="E31" i="1" s="1"/>
  <c r="E28" i="1"/>
  <c r="H30" i="1"/>
  <c r="H31" i="1" s="1"/>
  <c r="H28" i="1"/>
  <c r="D30" i="1"/>
  <c r="D31" i="1" s="1"/>
  <c r="D32" i="1" s="1"/>
  <c r="D28" i="1"/>
  <c r="K30" i="1"/>
  <c r="K31" i="1" s="1"/>
  <c r="K28" i="1"/>
  <c r="N30" i="1"/>
  <c r="N31" i="1" s="1"/>
  <c r="N28" i="1"/>
  <c r="O30" i="1"/>
  <c r="O31" i="1" s="1"/>
  <c r="O28" i="1"/>
  <c r="F30" i="1"/>
  <c r="F31" i="1" s="1"/>
  <c r="F28" i="1"/>
  <c r="G30" i="1"/>
  <c r="G31" i="1" s="1"/>
  <c r="G28" i="1"/>
  <c r="M30" i="1"/>
  <c r="M31" i="1" s="1"/>
  <c r="M28" i="1"/>
  <c r="I30" i="1"/>
  <c r="I31" i="1" s="1"/>
  <c r="I28" i="1"/>
  <c r="P32" i="1" l="1"/>
  <c r="G32" i="1"/>
  <c r="J32" i="1"/>
  <c r="F32" i="1"/>
  <c r="K32" i="1"/>
  <c r="I32" i="1"/>
  <c r="L32" i="1"/>
  <c r="N32" i="1"/>
  <c r="M32" i="1"/>
  <c r="H32" i="1"/>
  <c r="E32" i="1"/>
  <c r="O32" i="1"/>
</calcChain>
</file>

<file path=xl/sharedStrings.xml><?xml version="1.0" encoding="utf-8"?>
<sst xmlns="http://schemas.openxmlformats.org/spreadsheetml/2006/main" count="1072" uniqueCount="525">
  <si>
    <t>Tijdvak</t>
  </si>
  <si>
    <t>Aanvang</t>
  </si>
  <si>
    <t>Einde</t>
  </si>
  <si>
    <t>Tijdvak aanvang</t>
  </si>
  <si>
    <t>Tijdvak einde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</si>
  <si>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</si>
  <si>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</si>
  <si>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</si>
  <si>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</si>
  <si>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</si>
  <si>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</si>
  <si>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</si>
  <si>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</si>
  <si>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</si>
  <si>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</si>
  <si>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</si>
  <si>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</si>
  <si>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</si>
  <si>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</si>
  <si>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</si>
  <si>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</si>
  <si>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</si>
  <si>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</si>
  <si>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</si>
  <si>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</si>
  <si>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</si>
  <si>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</si>
  <si>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Periode 11</t>
  </si>
  <si>
    <t>Periode 12</t>
  </si>
  <si>
    <t>Periode 13</t>
  </si>
  <si>
    <t>Periode aanvang</t>
  </si>
  <si>
    <t>Periode einde</t>
  </si>
  <si>
    <t>Regelingloon</t>
  </si>
  <si>
    <t>Duur periode</t>
  </si>
  <si>
    <t>Regeling</t>
  </si>
  <si>
    <t>Franchise</t>
  </si>
  <si>
    <t>Max loon</t>
  </si>
  <si>
    <t>Cumulatief loon</t>
  </si>
  <si>
    <t>Premie periode</t>
  </si>
  <si>
    <t>Aanwas premiegrondslag</t>
  </si>
  <si>
    <t>Premie totaal</t>
  </si>
  <si>
    <t>Maandelijks1</t>
  </si>
  <si>
    <t>Maandelijks2</t>
  </si>
  <si>
    <t>Maandelijks3</t>
  </si>
  <si>
    <t>Maandelijks4</t>
  </si>
  <si>
    <t>Maandelijks5</t>
  </si>
  <si>
    <t>Maandelijks6</t>
  </si>
  <si>
    <t>Maandelijks7</t>
  </si>
  <si>
    <t>Maandelijks8</t>
  </si>
  <si>
    <t>Maandelijks9</t>
  </si>
  <si>
    <t>Maandelijks10</t>
  </si>
  <si>
    <t>Maandelijks11</t>
  </si>
  <si>
    <t>Maandelijks12</t>
  </si>
  <si>
    <t>4-wekelijks1</t>
  </si>
  <si>
    <t>4-wekelijks2</t>
  </si>
  <si>
    <t>4-wekelijks3</t>
  </si>
  <si>
    <t>4-wekelijks4</t>
  </si>
  <si>
    <t>4-wekelijks5</t>
  </si>
  <si>
    <t>4-wekelijks6</t>
  </si>
  <si>
    <t>4-wekelijks7</t>
  </si>
  <si>
    <t>4-wekelijks8</t>
  </si>
  <si>
    <t>4-wekelijks9</t>
  </si>
  <si>
    <t>4-wekelijks10</t>
  </si>
  <si>
    <t>4-wekelijks11</t>
  </si>
  <si>
    <t>4-wekelijks12</t>
  </si>
  <si>
    <t>4-wekelijks13</t>
  </si>
  <si>
    <t>Tijdvakken</t>
  </si>
  <si>
    <t>Max tijdvakken</t>
  </si>
  <si>
    <t>Omschrijving</t>
  </si>
  <si>
    <t>Datum</t>
  </si>
  <si>
    <t>Wie?</t>
  </si>
  <si>
    <t>Versie</t>
  </si>
  <si>
    <t>Cumulatieve normuren</t>
  </si>
  <si>
    <t>Cumulatieve verloonde uren</t>
  </si>
  <si>
    <t>Normuren periode</t>
  </si>
  <si>
    <t>Cumulatieve grondslag FT</t>
  </si>
  <si>
    <t>Cumulatieve grondslag PT</t>
  </si>
  <si>
    <t>Grondslag periode</t>
  </si>
  <si>
    <t>Cumulatief max loon FT</t>
  </si>
  <si>
    <t>Max loon periode FT</t>
  </si>
  <si>
    <t>Cumulatieve franchise FT</t>
  </si>
  <si>
    <t>Franchise periode FT</t>
  </si>
  <si>
    <t>Cumulatief loon FT</t>
  </si>
  <si>
    <t>= aanlevering UPA</t>
  </si>
  <si>
    <t>= invulvelden rekensheet</t>
  </si>
  <si>
    <t>Loon jaarbasis FT</t>
  </si>
  <si>
    <t>Grondslag jaarbasis FT</t>
  </si>
  <si>
    <t>Grondslag jaarbasis PT</t>
  </si>
  <si>
    <t>Norm per week</t>
  </si>
  <si>
    <t xml:space="preserve"> </t>
  </si>
  <si>
    <t>Toelichting</t>
  </si>
  <si>
    <t>Verloonde uren regeling</t>
  </si>
  <si>
    <t>In UPA-bericht: AantVerlUPens</t>
  </si>
  <si>
    <t>In UPA-bericht: PremieGrslg</t>
  </si>
  <si>
    <t>In UPA-bericht: PremieTot</t>
  </si>
  <si>
    <t>In UPA-bericht: RegLn</t>
  </si>
  <si>
    <t>In UPA-bericht: DatAanvRegGeg</t>
  </si>
  <si>
    <t>In UPA-bericht: DatAanvTv</t>
  </si>
  <si>
    <t>in UPA-bericht: DatEindTv</t>
  </si>
  <si>
    <t>In UPA-bericht: DatEindRegGeg (alleen gevuld bij einde deelname regeling)</t>
  </si>
  <si>
    <t>Deelname aanvang</t>
  </si>
  <si>
    <t>Deelname einde</t>
  </si>
  <si>
    <t>Premie-%</t>
  </si>
  <si>
    <t>Geen afronding</t>
  </si>
  <si>
    <t>Afronding op 2 decimalen</t>
  </si>
  <si>
    <t>Afronding op 4 decimalen</t>
  </si>
  <si>
    <t>Gelijk aan Regelingloon</t>
  </si>
  <si>
    <t>Cumulatieve duur</t>
  </si>
  <si>
    <t>Premie op jaarbasis</t>
  </si>
  <si>
    <t>Cumulatieve parttime-%</t>
  </si>
  <si>
    <t>Parttime-% periode</t>
  </si>
  <si>
    <t>Deelname</t>
  </si>
  <si>
    <t>Franchise periode</t>
  </si>
  <si>
    <t>Cumulatieve franchise</t>
  </si>
  <si>
    <t>Max loon periode</t>
  </si>
  <si>
    <t>Cumulatief max loon</t>
  </si>
  <si>
    <t>Cumulatieve grondslag</t>
  </si>
  <si>
    <t>U0557-1001</t>
  </si>
  <si>
    <t>GBP</t>
  </si>
  <si>
    <t>U0557-1002</t>
  </si>
  <si>
    <t>ST30</t>
  </si>
  <si>
    <t>ovk</t>
  </si>
  <si>
    <t>U0557-2002</t>
  </si>
  <si>
    <t>ULTIM</t>
  </si>
  <si>
    <t>U0557-2003</t>
  </si>
  <si>
    <t>n.v.t.</t>
  </si>
  <si>
    <t>U0557-1003</t>
  </si>
  <si>
    <t>ZEEV1</t>
  </si>
  <si>
    <t>ZEEV</t>
  </si>
  <si>
    <t>Collectieve ANW-verzekering sector Zeevisserij</t>
  </si>
  <si>
    <t>U0557-1004</t>
  </si>
  <si>
    <t>ALG</t>
  </si>
  <si>
    <t>Primo</t>
  </si>
  <si>
    <t>U0557-1009</t>
  </si>
  <si>
    <t>CDC</t>
  </si>
  <si>
    <t>U0557-1005</t>
  </si>
  <si>
    <t>ST20</t>
  </si>
  <si>
    <t>ST25</t>
  </si>
  <si>
    <t>ST40</t>
  </si>
  <si>
    <t>PRIMO</t>
  </si>
  <si>
    <t>U0557-1008</t>
  </si>
  <si>
    <t>U0557-2005</t>
  </si>
  <si>
    <t>gelijk aan pensioenregeling</t>
  </si>
  <si>
    <t>Doorsneepremie afhankelijk van opbouw</t>
  </si>
  <si>
    <t>U0557-2007</t>
  </si>
  <si>
    <t>Premie is gelijk aan de nominale inleg</t>
  </si>
  <si>
    <t>U0557-2008</t>
  </si>
  <si>
    <t>Regeling kenmerk &lt;RegKnmrk&gt;</t>
  </si>
  <si>
    <t>Regeling variant &lt;RegVrnt&gt;</t>
  </si>
  <si>
    <t>Omschrijving regeling</t>
  </si>
  <si>
    <t>Premie% totaal</t>
  </si>
  <si>
    <t>Regelingen sector Grafimedia en Reprografie</t>
  </si>
  <si>
    <t>U0557-1010</t>
  </si>
  <si>
    <t>GMVP</t>
  </si>
  <si>
    <t xml:space="preserve">Ouderdoms- en Partnerpensioen sector Grafimedia en Reprografie, verplicht gestelde functiegroepen.
(let op dat er op werkgeverniveau afwijkende parameters kunnen gelden)
DB-regeling op basis van doorsneepremie met ultimo grondslag
</t>
  </si>
  <si>
    <t>GMVW1</t>
  </si>
  <si>
    <t xml:space="preserve">Ouderdoms- en Partnerpensioen sector Grafimedia en Reprografie, vrijwillig contractgroep 1. Niet verplichtgestelde functiegroepen.
DB-regeling op basis van doorsneepremie met ultimo grondslag
</t>
  </si>
  <si>
    <t>GMVW2</t>
  </si>
  <si>
    <t xml:space="preserve">Ouderdoms- en Partnerpensioen sector Grafimedia en Reprografie, vrijwillig contractgroep 2. Niet verplichtgestelde functiegroepen.
DB-regeling op basis van doorsneepremie met ultimo grondslag
</t>
  </si>
  <si>
    <t>S0557-1001</t>
  </si>
  <si>
    <t>ASFGZ</t>
  </si>
  <si>
    <t xml:space="preserve">ASF Gezondheidszorg sector Grafimedia en Reprografie, verplicht.
Regeling op basis van doorsneepremie met ultimo grondslag
</t>
  </si>
  <si>
    <t>S0557-1002</t>
  </si>
  <si>
    <t>ASFWW</t>
  </si>
  <si>
    <t xml:space="preserve">ASF Werk naar Werk regeling sector Grafimedia en Reprografie, verplicht.
Regeling op basis van doorsneepremie met ultimo grondslag
</t>
  </si>
  <si>
    <t>S0557-2001</t>
  </si>
  <si>
    <t>ASFVB</t>
  </si>
  <si>
    <t xml:space="preserve">ASF Vakbond Grafimedia  sector Grafimedia en Reprografie, verplicht.
Regeling op basis van doorsneepremie met ultimo grondslag
</t>
  </si>
  <si>
    <t>S0557-2002</t>
  </si>
  <si>
    <t>ASFOP</t>
  </si>
  <si>
    <t xml:space="preserve">ASF Opleidingsfonds sector Grafimedia en Reprografie, verplicht.
Regeling op basis van doorsneepremie met ultimo grondslag
</t>
  </si>
  <si>
    <t>Regelingen sector Kartonnage en Flexibele Verpakkingen</t>
  </si>
  <si>
    <t>U0557-1020</t>
  </si>
  <si>
    <t>KFVP</t>
  </si>
  <si>
    <t xml:space="preserve">Ouderdoms- en Partnerpensioen sector  verplicht Kartonnage en Flexibele Verpakkingen, verplicht
DB-regeling op basis van doorsneepremie met ultimo grondslag
</t>
  </si>
  <si>
    <t>KFVW</t>
  </si>
  <si>
    <t>Ouderdoms- en Partnerpensioen sector Kartonnage en Flexibele Verpakkingen,  vrijwillige regeling
DB-regeling op basis van doorsneepremie met ultimo grondslag</t>
  </si>
  <si>
    <t>Regelingen sector Verf- en Drukinktindustrie</t>
  </si>
  <si>
    <t>U0557-1030</t>
  </si>
  <si>
    <t>VDVP</t>
  </si>
  <si>
    <t xml:space="preserve">Ouderdoms- en Partnerpensioen sector Verf- en Drukinktindustrie, verplicht
DB-regeling op basis van doorsneepremie met primo grondslag
</t>
  </si>
  <si>
    <t xml:space="preserve">VDVW
</t>
  </si>
  <si>
    <t xml:space="preserve">Ouderdoms- en Partnerpensioen sector Verf- en Drukinktindustrie, vrijwillige regeling
DB-regeling op basis van doorsneepremie met primo grondslag
</t>
  </si>
  <si>
    <t>Regelingen vrijwillige sectoren (Papierindustrie, Chemie, Uitgeverij, Dienstverlening, Groothandel, Maritiem, (Proces) industrie en Kunstof- en Rubberindustrie)</t>
  </si>
  <si>
    <t>DBP1</t>
  </si>
  <si>
    <t>Ouderdoms- en Partnerpensioen vrijwillige DB-regeling met primo grondslag, contractgroep 1
NB: regeling alleen gebruiken als volledig regelingloon is gebaseerd op peildatum 1 januari</t>
  </si>
  <si>
    <t>DBP2</t>
  </si>
  <si>
    <t>Ouderdoms- en Partnerpensioen vrijwillige DB-regeling met primo grondslag, contractgroep 2
NB: regeling alleen gebruiken als volledig regelingloon is gebaseerd op peildatum 1 januari</t>
  </si>
  <si>
    <t>DBP3</t>
  </si>
  <si>
    <t>Ouderdoms- en Partnerpensioen vrijwillige DB-regeling met primo grondslag, contractgroep 3
NB: regeling alleen gebruiken als volledig regelingloon is gebaseerd op peildatum 1 januari</t>
  </si>
  <si>
    <t>DBU1</t>
  </si>
  <si>
    <t>Ouderdoms- en Partnerpensioen vrijwillige DB-regeling met ultimo grondslag, contractgroep 1</t>
  </si>
  <si>
    <t>DBU2</t>
  </si>
  <si>
    <t>Ouderdoms- en Partnerpensioen vrijwillige DB-regeling met ultimo grondslag, contractgroep 2</t>
  </si>
  <si>
    <t>DBU3</t>
  </si>
  <si>
    <t>Ouderdoms- en Partnerpensioen vrijwillige DB-regeling met ultimo grondslag, contractgroep 3</t>
  </si>
  <si>
    <t>CDCU1</t>
  </si>
  <si>
    <t>Ouderdoms- en Partnerpensioen vrijwillige CDC-regeling met ultimo grondslag, contractgroep 1</t>
  </si>
  <si>
    <t>CDCU2</t>
  </si>
  <si>
    <t>Ouderdoms- en Partnerpensioen vrijwillige CDC-regeling met ultimo grondslag, contractgroep 2</t>
  </si>
  <si>
    <t>CDCUA</t>
  </si>
  <si>
    <t>Ouderdoms- en Partnerpensioen vrijwillige CDC-regeling met ultimo grondslag. Premie collectieve ANW-hiaat verzekering valt binnen de beschikbare premie
NB: voor de collectieve ANW-hiaat verzekering hoeft dus geen apart regelingkenmerk/variant te worden aangeleverd</t>
  </si>
  <si>
    <t>CDCUB</t>
  </si>
  <si>
    <t>Ouderdoms- en Partnerpensioen vrijwillige CDC-regeling met ultimo grondslag. Premie collectieve WIA-hiaat verzekering valt binnen de beschikbare premie
NB: voor de collectieve WIA-hiaat verzekering hoeft dus geen apart regelingkenmerk/variant te worden aangeleverd</t>
  </si>
  <si>
    <t>CDCUC</t>
  </si>
  <si>
    <t>Ouderdoms- en Partnerpensioen vrijwillige CDC-regeling met ultimo grondslag. Premie collectieve WIA- en ANW-hiaat verzekering valt binnen de beschikbare premie
NB: voor de collectieve WIA- en ANW-hiaat verzekering hoeven dus geen aparte regelingkenmerken/varianten te worden aangeleverd</t>
  </si>
  <si>
    <t>Regelingen sector Groothandel in Bloemen en Planten</t>
  </si>
  <si>
    <t>Ouderdoms- en Partnerpensioen sector Groothandel in Bloemen en Planten, verplicht (functiegroep 1 t/m 6)
DC-regeling op basis van doorsneepremie met ultimo grondslag</t>
  </si>
  <si>
    <t>Ouderdoms- en Partnerpensioen sector Groothandel in Bloemen en Planten, niet verplichte werknemers (functiegroep 7 en hoger)
DC-regeling op basis van 3%-staffel met ultimo grondslag</t>
  </si>
  <si>
    <t>Regelingen sector Zeevisserij</t>
  </si>
  <si>
    <t>Ouderdoms- en Partnerpensioen sector Zeevisserij: Vissers
DC-regeling op basis van doorsneepremie met ultimo grondslag</t>
  </si>
  <si>
    <t>Collectieve WIA-excedent sector Zeevisserij
NB: aanvullende regeling: alleen te gebruiken wanneer dit is afgesproken in de overeenkomst met de werkgever</t>
  </si>
  <si>
    <t>Regelingen Hybride (vrijwillige aansluiting met DB- én DC-regeling)</t>
  </si>
  <si>
    <t>Ouderdoms- en Partnerpensioen vrijwillige DB-regeling met primo grondslag
NB: alleen gebruiken bij hybride regelingen</t>
  </si>
  <si>
    <t>Ouderdoms- en Partnerpensioen vrijwillige CDC-regeling met primo grondslag: premie op basis van pensioengevend loon
NB: alleen gebruiken bij hybride regelingen</t>
  </si>
  <si>
    <t>Ouderdoms- en partnerpensioen vrijwillige DC-regeling met 2%-staffel en primo grondslag</t>
  </si>
  <si>
    <t>Ouderdoms- en partnerpensioen vrijwillige DC-regeling met 2,5%-staffel en primo grondslag</t>
  </si>
  <si>
    <t>Ouderdoms- en partnerpensioen vrijwillige DC-regeling met 3%-staffel en primo grondslag</t>
  </si>
  <si>
    <t>Ouderdoms- en partnerpensioen vrijwillige DC-regeling met 4%-staffel en primo grondslag</t>
  </si>
  <si>
    <t>Collectieve WIA-excedent bij hybride regelingen
NB: aanvullende regeling: alleen te gebruiken wanneer dit is afgesproken in de overeenkomst met de werkgever</t>
  </si>
  <si>
    <t>Collectieve ANW-verzekering bij hybride regelingen
NB: aanvullende regeling: alleen te gebruiken wanneer dit is afgesproken in de overeenkomst met de werkgever</t>
  </si>
  <si>
    <t>Ouderdoms- en partnerpensioen vrijwillige DC-regeling met 3%-staffel en ultimo grondslag</t>
  </si>
  <si>
    <t>Aanvullende regelingen (optioneel: zie overeenkomst)</t>
  </si>
  <si>
    <t>WIAP</t>
  </si>
  <si>
    <t>Collectieve WIA-excedent verzekering, primo grondslag</t>
  </si>
  <si>
    <t>WIAU</t>
  </si>
  <si>
    <t>Collectieve WIA-excedent verzekering, ultimo grondslag</t>
  </si>
  <si>
    <t>ANWC</t>
  </si>
  <si>
    <t>Collectieve ANW-hiaat verzekering</t>
  </si>
  <si>
    <t>Individueel extra inleggen DC deelnemer
Eenmalige inleg</t>
  </si>
  <si>
    <t>Individueel extra inleggen DC deelnemer
Periodieke inleg</t>
  </si>
  <si>
    <t>Regelinggroep</t>
  </si>
  <si>
    <t>Korte omschrijving</t>
  </si>
  <si>
    <t>Grafimedia verplicht</t>
  </si>
  <si>
    <t>Geboortedatum werknemer</t>
  </si>
  <si>
    <t>Werkgever wijkt af?</t>
  </si>
  <si>
    <t>Nee</t>
  </si>
  <si>
    <t>Grafimedia vrijwillig 1</t>
  </si>
  <si>
    <t>Grafimedia vrijwillig 2</t>
  </si>
  <si>
    <t>Leeftijd per 1/1</t>
  </si>
  <si>
    <t>Opslag</t>
  </si>
  <si>
    <t>GBP vrijwillig 7+</t>
  </si>
  <si>
    <t>Inzender / werkgever</t>
  </si>
  <si>
    <t>Staffel</t>
  </si>
  <si>
    <t>staffel</t>
  </si>
  <si>
    <t>Staffelpercentage</t>
  </si>
  <si>
    <t>Benutting</t>
  </si>
  <si>
    <t>Totale verschuldigde premie</t>
  </si>
  <si>
    <t>2017-20</t>
  </si>
  <si>
    <t>2017-25</t>
  </si>
  <si>
    <t>2017-30</t>
  </si>
  <si>
    <t>2017-40</t>
  </si>
  <si>
    <t>2018-20</t>
  </si>
  <si>
    <t>2018-25</t>
  </si>
  <si>
    <t>2018-30</t>
  </si>
  <si>
    <t>2018-40</t>
  </si>
  <si>
    <t>afwijkend1</t>
  </si>
  <si>
    <t>afwijkend2</t>
  </si>
  <si>
    <t>Gebruikte staffel</t>
  </si>
  <si>
    <t>Ja</t>
  </si>
  <si>
    <t>Kartonnage verplicht</t>
  </si>
  <si>
    <t>Kartonnage vrijwillig</t>
  </si>
  <si>
    <t>GBP verplicht 1 t/m 6</t>
  </si>
  <si>
    <t>DB ultimo vrijwillig 1</t>
  </si>
  <si>
    <t>DB ultimo vrijwillig 2</t>
  </si>
  <si>
    <t>DB ultimo vrijwillig 3</t>
  </si>
  <si>
    <t>CDC ultimo vrijwillig 1</t>
  </si>
  <si>
    <t>CDC ultimo vrijwillig 2</t>
  </si>
  <si>
    <t>Leeftijd op 1/1 of op aanvang deelname</t>
  </si>
  <si>
    <t>Maximum loon</t>
  </si>
  <si>
    <t>afwijking toestaan?</t>
  </si>
  <si>
    <t>N.v.t.</t>
  </si>
  <si>
    <t>BACKLOG</t>
  </si>
  <si>
    <t>Ultimo (VCR)</t>
  </si>
  <si>
    <t>Ultimo (Zeevisserij)</t>
  </si>
  <si>
    <t>Zelf staffel en benutting selecteren?</t>
  </si>
  <si>
    <t>Benuttingspercentage</t>
  </si>
  <si>
    <t>AP35P</t>
  </si>
  <si>
    <t>Individueel aanvullend partnerpensioen (APP) met primo grondslag, aanvullende opbouw van 35% van het ouderdomspensioen
NB: alleen te gebruiken wanneer de basisregeling ook primo is</t>
  </si>
  <si>
    <t>AP70P</t>
  </si>
  <si>
    <t>Individueel aanvullend partnerpensioen (APP) met primo grondslag, aanvullende opbouw van 70% van het ouderdomspensioen
NB: alleen te gebruiken wanneer de basisregeling ook primo is</t>
  </si>
  <si>
    <t>AP35U</t>
  </si>
  <si>
    <t>Individueel aanvullend partnerpensioen (APP) met ultimo grondslag, aanvullende opbouw van 35% van het ouderdomspensioen
NB: alleen te gebruiken wanneer de basisregeling ook ultimo is</t>
  </si>
  <si>
    <t>AP70U</t>
  </si>
  <si>
    <t>Individueel aanvullend partnerpensioen (APP) met ultimo grondslag, aanvullende opbouw van 70% van het ouderdomspensioen
NB: alleen te gebruiken wanneer de basisregeling ook ultimo is</t>
  </si>
  <si>
    <t>Sleutel</t>
  </si>
  <si>
    <t>VDI verplicht</t>
  </si>
  <si>
    <t>VDI vrijwillig</t>
  </si>
  <si>
    <t>DB primo vrijwillig 1</t>
  </si>
  <si>
    <t>DB primo vrijwillig 3</t>
  </si>
  <si>
    <t>DB primo vrijwillig 2</t>
  </si>
  <si>
    <t>CDC hybride vrijwillig</t>
  </si>
  <si>
    <t>DB hybride vrijwillig</t>
  </si>
  <si>
    <t>DC 2% primo vrijwillig</t>
  </si>
  <si>
    <t>DC 2,5% primo vrijwillig</t>
  </si>
  <si>
    <t>DC 3% primo vrijwillig</t>
  </si>
  <si>
    <t>DC 4% primo vrijwillig</t>
  </si>
  <si>
    <t>Zeevisserij Vissers</t>
  </si>
  <si>
    <t>CDC ultimo met ANW</t>
  </si>
  <si>
    <t>CDC ultimo met WIA en ANW</t>
  </si>
  <si>
    <t>CDC ultimo met WIA</t>
  </si>
  <si>
    <t>U0557-1010/GMVP (Grafimedia verplicht)</t>
  </si>
  <si>
    <t>U0557-1010/GMVW1 (Grafimedia vrijwillig 1)</t>
  </si>
  <si>
    <t>U0557-1010/GMVW2 (Grafimedia vrijwillig 2)</t>
  </si>
  <si>
    <t>U0557-1020/KFVP (Kartonnage verplicht)</t>
  </si>
  <si>
    <t>U0557-1020/KFVW (Kartonnage vrijwillig)</t>
  </si>
  <si>
    <t>U0557-1004/DBU1 (DB ultimo vrijwillig 1)</t>
  </si>
  <si>
    <t>U0557-1004/DBU2 (DB ultimo vrijwillig 2)</t>
  </si>
  <si>
    <t>U0557-1004/DBU3 (DB ultimo vrijwillig 3)</t>
  </si>
  <si>
    <t>U0557-1009/CDCU1 (CDC ultimo vrijwillig 1)</t>
  </si>
  <si>
    <t>U0557-1009/CDCU2 (CDC ultimo vrijwillig 2)</t>
  </si>
  <si>
    <t>U0557-1009/CDCUA (CDC ultimo met ANW)</t>
  </si>
  <si>
    <t>U0557-1009/CDCUB (CDC ultimo met WIA)</t>
  </si>
  <si>
    <t>U0557-1009/CDCUC (CDC ultimo met WIA en ANW)</t>
  </si>
  <si>
    <t>U0557-1001/GBP (GBP verplicht 1 t/m 6)</t>
  </si>
  <si>
    <t>U0557-1002/ST30 (GBP vrijwillig 7+)</t>
  </si>
  <si>
    <t>U0557-1030/VDVP (VDI verplicht)</t>
  </si>
  <si>
    <t>U0557-1030/VDVW
 (VDI vrijwillig)</t>
  </si>
  <si>
    <t>U0557-1004/DBP1 (DB primo vrijwillig 1)</t>
  </si>
  <si>
    <t>U0557-1004/DBP2 (DB primo vrijwillig 2)</t>
  </si>
  <si>
    <t>U0557-1004/DBP3 (DB primo vrijwillig 3)</t>
  </si>
  <si>
    <t>U0557-1004/ALG (DB hybride vrijwillig)</t>
  </si>
  <si>
    <t>U0557-1009/CDC (CDC hybride vrijwillig)</t>
  </si>
  <si>
    <t>U0557-1005/ST20 (DC 2% primo vrijwillig)</t>
  </si>
  <si>
    <t>U0557-1005/ST25 (DC 2,5% primo vrijwillig)</t>
  </si>
  <si>
    <t>U0557-1005/ST30 (DC 3% primo vrijwillig)</t>
  </si>
  <si>
    <t>U0557-1005/ST40 (DC 4% primo vrijwillig)</t>
  </si>
  <si>
    <t>U0557-1003/ZEEV1 (Zeevisserij Vissers)</t>
  </si>
  <si>
    <t>Maandelijks</t>
  </si>
  <si>
    <t>Regelingselectie</t>
  </si>
  <si>
    <t>Rekensheet (filter voor vullen tabblad Regelingselectie)</t>
  </si>
  <si>
    <t>2019-20</t>
  </si>
  <si>
    <t>2019-25</t>
  </si>
  <si>
    <t>2019-30</t>
  </si>
  <si>
    <t>2019-40</t>
  </si>
  <si>
    <t>2020-20</t>
  </si>
  <si>
    <t>2020-25</t>
  </si>
  <si>
    <t>2020-30</t>
  </si>
  <si>
    <t>2020-40</t>
  </si>
  <si>
    <t>Norm per jaar</t>
  </si>
  <si>
    <t>Regelingen sector Groothandel in Aardappelen</t>
  </si>
  <si>
    <t>U0557-1040</t>
  </si>
  <si>
    <t>Regelingen sector Groothandel in Groente en Fruit</t>
  </si>
  <si>
    <t>Regelingen sector Groothandel in Kaas</t>
  </si>
  <si>
    <t>Regelingen sector Groothandel in Eieren</t>
  </si>
  <si>
    <t>Regelingen sector Reisbranche</t>
  </si>
  <si>
    <t>U0557-1050</t>
  </si>
  <si>
    <t>RWVP</t>
  </si>
  <si>
    <t>Ouderdoms- en Partnerpensioen sector Reisbranche voor verplicht aangesloten werkgevers
DB-regeling op basis van doorsneepremie met primo grondslag</t>
  </si>
  <si>
    <t>RWVW</t>
  </si>
  <si>
    <t>Ouderdoms- en Partnerpensioen sector Reisbranche voor vrijwillig aangesloten werkgevers
DB-regeling op basis van doorsneepremie met primo grondslag</t>
  </si>
  <si>
    <t>RWEX</t>
  </si>
  <si>
    <t>GH Aardappel verplicht</t>
  </si>
  <si>
    <t>GH Aardappel vrijwillig</t>
  </si>
  <si>
    <t>GH Aardappel excedent</t>
  </si>
  <si>
    <t>GH GR &amp; FR verplicht</t>
  </si>
  <si>
    <t>GH GR &amp; FR vrijwillig</t>
  </si>
  <si>
    <t>GH GR &amp; FR excedent</t>
  </si>
  <si>
    <t>GH Kaas verplicht</t>
  </si>
  <si>
    <t>GH Kaas vrijwillig</t>
  </si>
  <si>
    <t>GH Kaas excedent</t>
  </si>
  <si>
    <t>GH Eieren verplicht</t>
  </si>
  <si>
    <t>GH Eieren vrijwillig</t>
  </si>
  <si>
    <t>GH Eieren excedent</t>
  </si>
  <si>
    <t>Reisbranche verplicht</t>
  </si>
  <si>
    <t>Reisbranche vrijwillig</t>
  </si>
  <si>
    <t>Reisbranche excedent</t>
  </si>
  <si>
    <t>Excedentregeling Ouderdoms- en Partnerpensioen sector Reisbranche, vrijwillige regeling op werkgeversniveau
DB-regeling op basis van doorsneepremie met primo grondslag</t>
  </si>
  <si>
    <t>U0557-1050/RWVP (Reisbranche verplicht)</t>
  </si>
  <si>
    <t>U0557-1050/RWVW (Reisbranche vrijwillig)</t>
  </si>
  <si>
    <t>U0557-1050/RWEX (Reisbranche excedent)</t>
  </si>
  <si>
    <t>2021-20</t>
  </si>
  <si>
    <t>2021-30</t>
  </si>
  <si>
    <t>2021-25</t>
  </si>
  <si>
    <t>2021-40</t>
  </si>
  <si>
    <t>2022-20</t>
  </si>
  <si>
    <t>2022-25</t>
  </si>
  <si>
    <t>2022-30</t>
  </si>
  <si>
    <t>2022-40</t>
  </si>
  <si>
    <t>GBP2022</t>
  </si>
  <si>
    <t>RELX2022</t>
  </si>
  <si>
    <t>ASF (Algemene Sociale Fondsen)</t>
  </si>
  <si>
    <t>RVU</t>
  </si>
  <si>
    <t>S0557-5001</t>
  </si>
  <si>
    <t xml:space="preserve">ASF Regeling Vervroegd Uitdiensttreding Grafimedia, verplicht.
Regeling op basis van doorsneepremie met ultimo grondslag
</t>
  </si>
  <si>
    <t>ST20U</t>
  </si>
  <si>
    <t>Ouderdoms- en partnerpensioen vrijwillige DC-regeling met 2%-staffel en ultimo grondslag</t>
  </si>
  <si>
    <t>Ultimo</t>
  </si>
  <si>
    <t>ST40U</t>
  </si>
  <si>
    <t>VLPP</t>
  </si>
  <si>
    <t>VLPU</t>
  </si>
  <si>
    <t>Ouderedoms- en Partnerpensioen vrijwillige DC-regeling met vlakke premie en primo grondslag</t>
  </si>
  <si>
    <t>Vrijwillig collectief</t>
  </si>
  <si>
    <t>Ouderedoms- en Partnerpensioen vrijwillige DC-regeling met vlakke premie en ultimo grondslag</t>
  </si>
  <si>
    <t>U0557-1008/VLPU (DC ultimo vlakke premie)</t>
  </si>
  <si>
    <t>U0557-1005/VLPP (DC primo vlakke premie)</t>
  </si>
  <si>
    <t>DC primo vlakke premie</t>
  </si>
  <si>
    <t>DC ultimo vlakke premie</t>
  </si>
  <si>
    <t>Gelijk aan pensioenregeling</t>
  </si>
  <si>
    <t>DC 2,5% ultimo vrijwillig</t>
  </si>
  <si>
    <t>ST25U</t>
  </si>
  <si>
    <t>Ouderdoms- en partnerpensioen vrijwillige DC-regeling met 2,5%-staffel en ultimo grondslag</t>
  </si>
  <si>
    <t>DC 4% ultimo vrijwillig</t>
  </si>
  <si>
    <t>DC 2% ultimo vrijwillig</t>
  </si>
  <si>
    <t>2022-15</t>
  </si>
  <si>
    <t>ST15</t>
  </si>
  <si>
    <t>ST15U</t>
  </si>
  <si>
    <t>DC 1,5% primo vrijwillig</t>
  </si>
  <si>
    <t>DC 1,5% ultimo vrijwillig</t>
  </si>
  <si>
    <t>inleggen0inleggeninleggen-</t>
  </si>
  <si>
    <t>U0557-1005/ST15 (DC 1,5% primo vrijwillig)</t>
  </si>
  <si>
    <t>2023-15</t>
  </si>
  <si>
    <t>2023-20</t>
  </si>
  <si>
    <t>2023-25</t>
  </si>
  <si>
    <t>2023-30</t>
  </si>
  <si>
    <t>2023-40</t>
  </si>
  <si>
    <t>Ouderdoms- en partnerpensioen vrijwillige DC-regeling met 4%-staffel en ultimo grondslag</t>
  </si>
  <si>
    <t>AvD</t>
  </si>
  <si>
    <t>Gegeven</t>
  </si>
  <si>
    <t>Afspraak</t>
  </si>
  <si>
    <t>Algemeen</t>
  </si>
  <si>
    <t>Velden mogen niet leeg zijn. Vul met n.v.t. als niet van toepassing</t>
  </si>
  <si>
    <t>Per regeling of variant wordt in ieder geval een regel aangemaakt met de uitgangswaarden. Aanvullend worden eventueel regels opgenomen die de mogelijke variaties per werkgever beschrijven (zie overeenkomst).</t>
  </si>
  <si>
    <t>Gewijzigde gegevens</t>
  </si>
  <si>
    <t xml:space="preserve">Cellen die zijn gewijzigd t.o.v. vorig jaar geel arceren. </t>
  </si>
  <si>
    <t>Cellen die vooralsnog niet zijn gewijzigd en waarvan de vulling niet definitief is blauw arceren.</t>
  </si>
  <si>
    <t>Cellen die zijn gewijzigd t.o.v. de laatste keer dat de gegevens van deze regeling zijn opgeleverd, oranje arceren.</t>
  </si>
  <si>
    <t>Versienummer</t>
  </si>
  <si>
    <t>Bedrag maximum pensioengevend loon per periode</t>
  </si>
  <si>
    <t xml:space="preserve">Bevat bedrag, ‘n.v.t.’ of ‘zie overeenkomst’ </t>
  </si>
  <si>
    <t>Bedrag maximum pensioengevend loon per jaar</t>
  </si>
  <si>
    <t>Bevat bedrag, ‘n.v.t.’ of ‘zie overeenkomst’. Van toepassing als het de basis vormt van het niet-afgeronde periodebedrag.</t>
  </si>
  <si>
    <t>Bedrag minimum premiegrondslag</t>
  </si>
  <si>
    <t>Bedrag franchise per periode</t>
  </si>
  <si>
    <t>Bedrag franchise per jaar</t>
  </si>
  <si>
    <t>Premie % totaal</t>
  </si>
  <si>
    <t>Bevat percentage, ‘actuarieel’, ’zie overeenkomst’</t>
  </si>
  <si>
    <t>Premie % werkgeversdeel</t>
  </si>
  <si>
    <t>Bevat percentage, ‘actuarieel’, ’zie overeenkomst’, 'zie cao'</t>
  </si>
  <si>
    <t>Maximaal premie % werknemersdeel</t>
  </si>
  <si>
    <t>Gebroken tijdvak / deeltijdfactor</t>
  </si>
  <si>
    <t>Toelichting hoe de deeltijdfactor wordt bepaald, ook i.g.v. een gebroken tijdvak.</t>
  </si>
  <si>
    <t>Primo / Ultimo</t>
  </si>
  <si>
    <t xml:space="preserve">Primo: een regeling waarvoor geldt dat de grondslag voor premie en opbouw per jaar vooraf wordt bepaald.
Ultimo: een regeling waarvoor geldt dat de grondslag voor premie en opbouw per wijziging wordt bepaald. </t>
  </si>
  <si>
    <t>Bevat een versienummer dat als volgt is opgebouwd:jaartal (versie)+vv
Bijvoorbeeld:
2023_versie-01: eerste concept van de regelinggegevens van 2023
2023_versie-02: tweede concept van de regelinggegevens van 2023
2023_versie-03: derde concept van de regelinggegevens van 2023
2023_versie-def: definitieve versie van de regelinggegevens van 2023</t>
  </si>
  <si>
    <t>U0557-1008/ST20U (DC 2% ultimo vrijwillig)</t>
  </si>
  <si>
    <t>U0557-1008/ST25U (DC 2,5% ultimo vrijwillig)</t>
  </si>
  <si>
    <t>U0557-1008/ST30 (DC 3% ultimo vrijwillig)</t>
  </si>
  <si>
    <t>DC 3% ultimo vrijwillig</t>
  </si>
  <si>
    <t>U0557-1008/ST15U (DC 1,5% ultimo vrijwillig)</t>
  </si>
  <si>
    <t>U0557-1008/ST40U (DC 4% ultimo vrijwillig)</t>
  </si>
  <si>
    <t>nee</t>
  </si>
  <si>
    <t>WIAP2</t>
  </si>
  <si>
    <t>ANWC2</t>
  </si>
  <si>
    <t>ULTIMO</t>
  </si>
  <si>
    <t>PGBP</t>
  </si>
  <si>
    <t>OPP</t>
  </si>
  <si>
    <t>Vlakke staffel</t>
  </si>
  <si>
    <t>goed</t>
  </si>
  <si>
    <t>Ultimo (ASF regelingen)</t>
  </si>
  <si>
    <t>S0557-1001/ASFGZ (ASF (Algemene Sociale Fondsen))</t>
  </si>
  <si>
    <t>S0557-1002/ASFWW (ASF (Algemene Sociale Fondsen))</t>
  </si>
  <si>
    <t>S0557-2001/ASFVB (ASF (Algemene Sociale Fondsen))</t>
  </si>
  <si>
    <t>S0557-2002/ASFOP (ASF (Algemene Sociale Fondsen))</t>
  </si>
  <si>
    <t>S0557-5001/RVU</t>
  </si>
  <si>
    <t>ultimo</t>
  </si>
  <si>
    <t>AVPU</t>
  </si>
  <si>
    <t>AVWU</t>
  </si>
  <si>
    <t>AEXU</t>
  </si>
  <si>
    <t>GFVPU</t>
  </si>
  <si>
    <t>GFVWU</t>
  </si>
  <si>
    <t>GFEXU</t>
  </si>
  <si>
    <t>KAVPU</t>
  </si>
  <si>
    <t>KAVWU</t>
  </si>
  <si>
    <t>KAEXU</t>
  </si>
  <si>
    <t>EIVPU</t>
  </si>
  <si>
    <t>EIVWU</t>
  </si>
  <si>
    <t>EIEXU</t>
  </si>
  <si>
    <t>U0557-1040/AVPU (GH Aardappel verplicht)</t>
  </si>
  <si>
    <t>U0557-1040/AVWU (GH Aardappel vrijwillig)</t>
  </si>
  <si>
    <t>U0557-1040/AEXU (GH Aardappel excedent)</t>
  </si>
  <si>
    <t>U0557-1040/GFVPU (GH GR &amp; FR verplicht)</t>
  </si>
  <si>
    <t>U0557-1040/GFVWU (GH GR &amp; FR vrijwillig)</t>
  </si>
  <si>
    <t>U0557-1040/GFEXU (GH GR &amp; FR excedent)</t>
  </si>
  <si>
    <t>U0557-1040/KAVPU (GH Kaas verplicht)</t>
  </si>
  <si>
    <t>U0557-1040/KAVWU (GH Kaas vrijwillig)</t>
  </si>
  <si>
    <t>U0557-1040/KAEXU (GH Kaas excedent)</t>
  </si>
  <si>
    <t>U0557-1040/EIVPU (GH Eieren verplicht)</t>
  </si>
  <si>
    <t>U0557-1040/EIVWU (GH Eieren vrijwillig)</t>
  </si>
  <si>
    <t>U0557-1040/EIEXU (GH Eieren excedent)</t>
  </si>
  <si>
    <t>Ouderdoms- en Partnerpensioen sector Groothandel in Aardappelen, voor verplicht aangesloten werkgevers
DB-regeling op basis van doorsneepremie met ultimo grondslag</t>
  </si>
  <si>
    <t>Ouderdoms- en Partnerpensioen sector Groothandel in Aardappelen, voor vrijwillig aangesloten werkgevers
DB-regeling op basis van doorsneepremie met ultimo grondslag</t>
  </si>
  <si>
    <t>Excedentregeling Ouderdoms- en Partnerpensioen sector Groothandel in Aardappelen, vrijwillige regeling op werkgeversniveau
DB-regeling op basis van doorsneepremie met ultimo grondslag</t>
  </si>
  <si>
    <t>Ouderdoms- en Partnerpensioen sector Groothandel in Groente en Fruit voor verplicht aangesloten werkgevers
DB-regeling op basis van doorsneepremie met ultimo grondslag</t>
  </si>
  <si>
    <t>Excedentregeling Ouderdoms- en Partnerpensioen sector Groothandel in Groente en Fruit vrijwillige regeling op werkgeversniveau
DB-regeling op basis van doorsneepremie met ultimo grondslag</t>
  </si>
  <si>
    <t>Ouderdoms- en Partnerpensioen sector Groothandel in Kaas (Partikuliere Kaaspakhuisbedrijf) voor verplicht aangesloten werkgevers
DB-regeling op basis van doorsneepremie met ultimo grondslag</t>
  </si>
  <si>
    <t>Ouderdoms- en Partnerpensioen sector Groothandel in Kaas (Partikuliere Kaaspakhuisbedrijf) voor vrijwillig aangesloten werkgevers
DB-regeling op basis van doorsneepremie met ultimo grondslag</t>
  </si>
  <si>
    <t>Excedentregeling Ouderdoms- en Partnerpensioen sector Groothandel in Kaas (Partikuliere Kaaspakhuisbedrijf), vrijwillige regeling op werkgeversniveau
DB-regeling op basis van doorsneepremie met ultimo grondslag</t>
  </si>
  <si>
    <t>Ouderdoms- en Partnerpensioen sector groothandel in Eieren voor verplicht aangesloten werkgevers
DB-regeling op basis van doorsneepremie met ultimo grondslag</t>
  </si>
  <si>
    <t>Ouderdoms- en Partnerpensioen sector groothandel in Eieren voor vrijwillig aangesloten werkgevers
DB-regeling op basis van doorsneepremie met ultimo grondslag</t>
  </si>
  <si>
    <t>Excedentregeling Ouderdoms- en Partnerpensioen sector groothandel in Eieren, vrijwillige regeling op werkgeversniveau
DB-regeling op basis van doorsneepremie met ultimo grondslag</t>
  </si>
  <si>
    <t>ZEEW</t>
  </si>
  <si>
    <t>Ouderdoms- en Partnerpensioen sector Zeevisserij: Walpersoneel
DC-regeling op basis van doorsneepremie met ultimo grondslag</t>
  </si>
  <si>
    <t>Zeevisserij Wal</t>
  </si>
  <si>
    <t>U0557-1003/ZEEW (Zeevisserij Wal)</t>
  </si>
  <si>
    <t>2024-15</t>
  </si>
  <si>
    <t>2024-20</t>
  </si>
  <si>
    <t>2024-25</t>
  </si>
  <si>
    <t>2024-30</t>
  </si>
  <si>
    <t>2024-40</t>
  </si>
  <si>
    <t>Aanpassen Tijdvakken 2025</t>
  </si>
  <si>
    <t>Invoeren referentiegegevens</t>
  </si>
  <si>
    <t>2025-0.1</t>
  </si>
  <si>
    <t>2025-30</t>
  </si>
  <si>
    <t>2025-15</t>
  </si>
  <si>
    <t>2025-20</t>
  </si>
  <si>
    <t>2025-25</t>
  </si>
  <si>
    <t>2025-40</t>
  </si>
  <si>
    <t>Collectieve WIA-excedent 
NB: aanvullende regeling: alleen te gebruiken wanneer dit is afgesproken in de overeenkomst met de werkgever</t>
  </si>
  <si>
    <t>Collectieve ANW-verzekering 
NB: aanvullende regeling: alleen te gebruiken wanneer dit is afgesproken in de overeenkomst met de werkgever</t>
  </si>
  <si>
    <t>2025-0,2</t>
  </si>
  <si>
    <t>aanpassen bevindingen Janice Chen</t>
  </si>
  <si>
    <t>2025-0.3</t>
  </si>
  <si>
    <t>Aanpassing bevinding Janice</t>
  </si>
  <si>
    <t>AVD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</si>
</sst>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%"/>
    <numFmt numFmtId="165" formatCode="_-&quot;€&quot;\ * #,##0.00_-;_-&quot;€&quot;\ * #,##0.00\-;_-&quot;€&quot;\ * &quot;-&quot;??_-;_-@_-"/>
    <numFmt numFmtId="166" formatCode="0.000%"/>
    <numFmt numFmtId="167" formatCode="00000000000"/>
    <numFmt numFmtId="168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444444"/>
      <name val="Segoe UI"/>
      <family val="2"/>
    </font>
    <font>
      <sz val="10"/>
      <name val="Segoe U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b/>
      <sz val="10"/>
      <color rgb="FF66990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66990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0"/>
      <color rgb="FF71944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4E3D"/>
        <bgColor indexed="64"/>
      </patternFill>
    </fill>
    <fill>
      <patternFill patternType="solid">
        <fgColor rgb="FFB6D5E4"/>
        <bgColor indexed="64"/>
      </patternFill>
    </fill>
    <fill>
      <patternFill patternType="solid">
        <fgColor rgb="FFC9D75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211">
    <xf numFmtId="0" fontId="0" fillId="0" borderId="0" xfId="0"/>
    <xf numFmtId="0" fontId="2" fillId="2" borderId="0" xfId="0" applyFont="1" applyFill="1"/>
    <xf numFmtId="0" fontId="0" fillId="2" borderId="1" xfId="0" applyFill="1" applyBorder="1"/>
    <xf numFmtId="14" fontId="0" fillId="2" borderId="1" xfId="0" applyNumberFormat="1" applyFill="1" applyBorder="1"/>
    <xf numFmtId="0" fontId="0" fillId="2" borderId="0" xfId="0" applyFill="1"/>
    <xf numFmtId="0" fontId="11" fillId="0" borderId="0" xfId="0" applyFont="1"/>
    <xf numFmtId="0" fontId="10" fillId="0" borderId="7" xfId="0" applyFont="1" applyBorder="1" applyAlignment="1">
      <alignment horizontal="center" vertical="center" wrapText="1"/>
    </xf>
    <xf numFmtId="10" fontId="0" fillId="5" borderId="1" xfId="1" applyNumberFormat="1" applyFont="1" applyFill="1" applyBorder="1"/>
    <xf numFmtId="0" fontId="4" fillId="5" borderId="1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44" fontId="8" fillId="2" borderId="1" xfId="0" applyNumberFormat="1" applyFont="1" applyFill="1" applyBorder="1" applyProtection="1">
      <protection locked="0"/>
    </xf>
    <xf numFmtId="14" fontId="4" fillId="5" borderId="1" xfId="0" applyNumberFormat="1" applyFont="1" applyFill="1" applyBorder="1" applyProtection="1">
      <protection locked="0"/>
    </xf>
    <xf numFmtId="14" fontId="4" fillId="5" borderId="6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left"/>
    </xf>
    <xf numFmtId="9" fontId="2" fillId="2" borderId="1" xfId="0" applyNumberFormat="1" applyFont="1" applyFill="1" applyBorder="1"/>
    <xf numFmtId="10" fontId="2" fillId="2" borderId="1" xfId="0" applyNumberFormat="1" applyFont="1" applyFill="1" applyBorder="1"/>
    <xf numFmtId="10" fontId="0" fillId="2" borderId="1" xfId="1" applyNumberFormat="1" applyFont="1" applyFill="1" applyBorder="1"/>
    <xf numFmtId="10" fontId="0" fillId="2" borderId="1" xfId="0" applyNumberFormat="1" applyFill="1" applyBorder="1"/>
    <xf numFmtId="0" fontId="3" fillId="5" borderId="7" xfId="0" applyFont="1" applyFill="1" applyBorder="1" applyProtection="1">
      <protection locked="0"/>
    </xf>
    <xf numFmtId="0" fontId="12" fillId="0" borderId="3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left" vertical="top"/>
    </xf>
    <xf numFmtId="167" fontId="14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left" vertical="top" wrapText="1"/>
    </xf>
    <xf numFmtId="10" fontId="13" fillId="0" borderId="1" xfId="1" applyNumberFormat="1" applyFont="1" applyFill="1" applyBorder="1" applyAlignment="1">
      <alignment horizontal="left" vertical="top" wrapText="1"/>
    </xf>
    <xf numFmtId="10" fontId="13" fillId="0" borderId="1" xfId="0" applyNumberFormat="1" applyFont="1" applyBorder="1" applyAlignment="1">
      <alignment horizontal="left" vertical="top" wrapText="1"/>
    </xf>
    <xf numFmtId="9" fontId="13" fillId="0" borderId="1" xfId="1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44" fontId="13" fillId="0" borderId="1" xfId="2" applyFont="1" applyFill="1" applyBorder="1" applyAlignment="1">
      <alignment horizontal="left" vertical="top" wrapText="1"/>
    </xf>
    <xf numFmtId="0" fontId="12" fillId="0" borderId="6" xfId="0" applyFont="1" applyBorder="1"/>
    <xf numFmtId="0" fontId="13" fillId="0" borderId="6" xfId="0" applyFont="1" applyBorder="1" applyAlignment="1">
      <alignment horizontal="left" vertical="top"/>
    </xf>
    <xf numFmtId="167" fontId="14" fillId="0" borderId="6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5" fontId="13" fillId="0" borderId="6" xfId="0" applyNumberFormat="1" applyFont="1" applyBorder="1" applyAlignment="1">
      <alignment horizontal="left" vertical="top" wrapText="1"/>
    </xf>
    <xf numFmtId="0" fontId="0" fillId="2" borderId="3" xfId="0" applyFill="1" applyBorder="1"/>
    <xf numFmtId="14" fontId="0" fillId="2" borderId="2" xfId="0" applyNumberFormat="1" applyFill="1" applyBorder="1"/>
    <xf numFmtId="0" fontId="0" fillId="2" borderId="10" xfId="0" applyFill="1" applyBorder="1"/>
    <xf numFmtId="0" fontId="0" fillId="2" borderId="6" xfId="0" applyFill="1" applyBorder="1"/>
    <xf numFmtId="14" fontId="0" fillId="2" borderId="6" xfId="0" applyNumberFormat="1" applyFill="1" applyBorder="1"/>
    <xf numFmtId="14" fontId="0" fillId="2" borderId="8" xfId="0" applyNumberFormat="1" applyFill="1" applyBorder="1"/>
    <xf numFmtId="0" fontId="15" fillId="2" borderId="7" xfId="0" applyFont="1" applyFill="1" applyBorder="1"/>
    <xf numFmtId="0" fontId="15" fillId="2" borderId="11" xfId="0" applyFont="1" applyFill="1" applyBorder="1"/>
    <xf numFmtId="0" fontId="15" fillId="2" borderId="12" xfId="0" applyFont="1" applyFill="1" applyBorder="1"/>
    <xf numFmtId="0" fontId="4" fillId="5" borderId="6" xfId="0" applyFont="1" applyFill="1" applyBorder="1" applyProtection="1">
      <protection locked="0"/>
    </xf>
    <xf numFmtId="0" fontId="10" fillId="6" borderId="1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165" fontId="10" fillId="6" borderId="7" xfId="0" applyNumberFormat="1" applyFont="1" applyFill="1" applyBorder="1" applyAlignment="1">
      <alignment horizontal="center" vertical="center" wrapText="1"/>
    </xf>
    <xf numFmtId="166" fontId="10" fillId="6" borderId="7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16" fillId="0" borderId="1" xfId="0" applyFont="1" applyBorder="1" applyAlignment="1">
      <alignment horizontal="left" vertical="top"/>
    </xf>
    <xf numFmtId="167" fontId="17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5" fontId="1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0" fontId="0" fillId="2" borderId="0" xfId="0" applyNumberFormat="1" applyFill="1"/>
    <xf numFmtId="165" fontId="4" fillId="0" borderId="1" xfId="1" applyNumberFormat="1" applyFont="1" applyFill="1" applyBorder="1" applyAlignment="1">
      <alignment horizontal="left" vertical="top" wrapText="1"/>
    </xf>
    <xf numFmtId="165" fontId="4" fillId="0" borderId="1" xfId="2" applyNumberFormat="1" applyFont="1" applyFill="1" applyBorder="1" applyAlignment="1">
      <alignment horizontal="left" vertical="top" wrapText="1"/>
    </xf>
    <xf numFmtId="165" fontId="4" fillId="0" borderId="6" xfId="2" applyNumberFormat="1" applyFont="1" applyFill="1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left" vertical="top" wrapText="1"/>
    </xf>
    <xf numFmtId="10" fontId="13" fillId="7" borderId="1" xfId="0" applyNumberFormat="1" applyFont="1" applyFill="1" applyBorder="1" applyAlignment="1">
      <alignment horizontal="left" vertical="top" wrapText="1"/>
    </xf>
    <xf numFmtId="0" fontId="12" fillId="0" borderId="3" xfId="0" applyFont="1" applyBorder="1" applyAlignment="1">
      <alignment vertical="top"/>
    </xf>
    <xf numFmtId="0" fontId="0" fillId="0" borderId="14" xfId="0" applyBorder="1"/>
    <xf numFmtId="14" fontId="0" fillId="0" borderId="14" xfId="0" applyNumberFormat="1" applyBorder="1"/>
    <xf numFmtId="0" fontId="0" fillId="0" borderId="15" xfId="0" applyBorder="1"/>
    <xf numFmtId="0" fontId="0" fillId="0" borderId="1" xfId="0" applyBorder="1" applyAlignment="1">
      <alignment wrapText="1"/>
    </xf>
    <xf numFmtId="0" fontId="0" fillId="0" borderId="16" xfId="0" applyBorder="1"/>
    <xf numFmtId="0" fontId="19" fillId="9" borderId="0" xfId="4" applyFont="1" applyFill="1" applyAlignment="1">
      <alignment vertical="top" wrapText="1"/>
    </xf>
    <xf numFmtId="0" fontId="20" fillId="0" borderId="0" xfId="4" applyFont="1" applyAlignment="1">
      <alignment vertical="top" wrapText="1"/>
    </xf>
    <xf numFmtId="0" fontId="20" fillId="7" borderId="0" xfId="4" applyFont="1" applyFill="1" applyAlignment="1">
      <alignment vertical="top" wrapText="1"/>
    </xf>
    <xf numFmtId="0" fontId="18" fillId="0" borderId="0" xfId="4" applyAlignment="1">
      <alignment vertical="top" wrapText="1"/>
    </xf>
    <xf numFmtId="0" fontId="20" fillId="10" borderId="0" xfId="4" applyFont="1" applyFill="1" applyAlignment="1">
      <alignment vertical="top" wrapText="1"/>
    </xf>
    <xf numFmtId="0" fontId="20" fillId="8" borderId="0" xfId="4" applyFont="1" applyFill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22" fillId="0" borderId="1" xfId="0" applyFont="1" applyBorder="1"/>
    <xf numFmtId="0" fontId="22" fillId="0" borderId="6" xfId="0" applyFont="1" applyBorder="1"/>
    <xf numFmtId="0" fontId="4" fillId="0" borderId="6" xfId="0" applyFont="1" applyBorder="1" applyAlignment="1">
      <alignment horizontal="left" vertical="top"/>
    </xf>
    <xf numFmtId="167" fontId="17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5" fontId="4" fillId="0" borderId="6" xfId="1" applyNumberFormat="1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3" fillId="0" borderId="3" xfId="0" applyFont="1" applyBorder="1"/>
    <xf numFmtId="0" fontId="23" fillId="0" borderId="10" xfId="0" applyFont="1" applyBorder="1"/>
    <xf numFmtId="167" fontId="24" fillId="0" borderId="1" xfId="0" applyNumberFormat="1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9" fillId="3" borderId="2" xfId="0" applyFont="1" applyFill="1" applyBorder="1" applyAlignment="1" applyProtection="1">
      <alignment vertical="top"/>
      <protection locked="0"/>
    </xf>
    <xf numFmtId="0" fontId="9" fillId="3" borderId="3" xfId="0" applyFont="1" applyFill="1" applyBorder="1" applyAlignment="1" applyProtection="1">
      <alignment vertical="top"/>
      <protection locked="0"/>
    </xf>
    <xf numFmtId="0" fontId="8" fillId="2" borderId="0" xfId="0" applyFont="1" applyFill="1" applyProtection="1">
      <protection locked="0"/>
    </xf>
    <xf numFmtId="0" fontId="3" fillId="2" borderId="9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9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14" fontId="3" fillId="2" borderId="5" xfId="0" applyNumberFormat="1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44" fontId="3" fillId="5" borderId="1" xfId="0" applyNumberFormat="1" applyFont="1" applyFill="1" applyBorder="1" applyProtection="1">
      <protection locked="0"/>
    </xf>
    <xf numFmtId="44" fontId="3" fillId="2" borderId="1" xfId="0" applyNumberFormat="1" applyFont="1" applyFill="1" applyBorder="1" applyProtection="1">
      <protection locked="0"/>
    </xf>
    <xf numFmtId="44" fontId="3" fillId="2" borderId="5" xfId="0" applyNumberFormat="1" applyFont="1" applyFill="1" applyBorder="1" applyProtection="1">
      <protection locked="0"/>
    </xf>
    <xf numFmtId="44" fontId="3" fillId="2" borderId="0" xfId="0" applyNumberFormat="1" applyFont="1" applyFill="1" applyProtection="1">
      <protection locked="0"/>
    </xf>
    <xf numFmtId="0" fontId="4" fillId="0" borderId="0" xfId="0" applyFont="1" applyProtection="1">
      <protection locked="0"/>
    </xf>
    <xf numFmtId="0" fontId="4" fillId="2" borderId="1" xfId="0" applyFont="1" applyFill="1" applyBorder="1"/>
    <xf numFmtId="0" fontId="4" fillId="2" borderId="6" xfId="0" applyFont="1" applyFill="1" applyBorder="1"/>
    <xf numFmtId="0" fontId="3" fillId="2" borderId="9" xfId="0" applyFont="1" applyFill="1" applyBorder="1"/>
    <xf numFmtId="0" fontId="3" fillId="5" borderId="1" xfId="0" applyFont="1" applyFill="1" applyBorder="1"/>
    <xf numFmtId="44" fontId="4" fillId="2" borderId="1" xfId="0" applyNumberFormat="1" applyFont="1" applyFill="1" applyBorder="1" applyAlignment="1">
      <alignment vertical="top"/>
    </xf>
    <xf numFmtId="44" fontId="8" fillId="2" borderId="1" xfId="0" applyNumberFormat="1" applyFont="1" applyFill="1" applyBorder="1"/>
    <xf numFmtId="10" fontId="4" fillId="2" borderId="1" xfId="1" applyNumberFormat="1" applyFont="1" applyFill="1" applyBorder="1" applyAlignment="1" applyProtection="1">
      <alignment horizontal="right"/>
    </xf>
    <xf numFmtId="10" fontId="8" fillId="2" borderId="1" xfId="1" applyNumberFormat="1" applyFont="1" applyFill="1" applyBorder="1" applyProtection="1"/>
    <xf numFmtId="0" fontId="3" fillId="2" borderId="11" xfId="0" applyFont="1" applyFill="1" applyBorder="1"/>
    <xf numFmtId="0" fontId="4" fillId="2" borderId="8" xfId="0" applyFont="1" applyFill="1" applyBorder="1"/>
    <xf numFmtId="0" fontId="4" fillId="2" borderId="10" xfId="0" applyFont="1" applyFill="1" applyBorder="1"/>
    <xf numFmtId="0" fontId="8" fillId="2" borderId="12" xfId="0" applyFont="1" applyFill="1" applyBorder="1"/>
    <xf numFmtId="0" fontId="4" fillId="2" borderId="7" xfId="3" applyNumberFormat="1" applyFont="1" applyFill="1" applyBorder="1" applyProtection="1"/>
    <xf numFmtId="0" fontId="3" fillId="2" borderId="0" xfId="0" applyFont="1" applyFill="1"/>
    <xf numFmtId="0" fontId="9" fillId="3" borderId="1" xfId="0" applyFont="1" applyFill="1" applyBorder="1"/>
    <xf numFmtId="0" fontId="3" fillId="2" borderId="1" xfId="0" applyFont="1" applyFill="1" applyBorder="1"/>
    <xf numFmtId="0" fontId="3" fillId="4" borderId="1" xfId="0" applyFont="1" applyFill="1" applyBorder="1"/>
    <xf numFmtId="14" fontId="3" fillId="2" borderId="1" xfId="0" applyNumberFormat="1" applyFont="1" applyFill="1" applyBorder="1"/>
    <xf numFmtId="0" fontId="3" fillId="2" borderId="4" xfId="0" applyFont="1" applyFill="1" applyBorder="1"/>
    <xf numFmtId="14" fontId="3" fillId="2" borderId="0" xfId="0" applyNumberFormat="1" applyFont="1" applyFill="1"/>
    <xf numFmtId="14" fontId="3" fillId="2" borderId="5" xfId="0" applyNumberFormat="1" applyFont="1" applyFill="1" applyBorder="1"/>
    <xf numFmtId="0" fontId="3" fillId="4" borderId="3" xfId="0" applyFont="1" applyFill="1" applyBorder="1"/>
    <xf numFmtId="0" fontId="3" fillId="2" borderId="5" xfId="0" applyFont="1" applyFill="1" applyBorder="1"/>
    <xf numFmtId="0" fontId="3" fillId="2" borderId="2" xfId="0" applyFont="1" applyFill="1" applyBorder="1"/>
    <xf numFmtId="0" fontId="3" fillId="2" borderId="13" xfId="0" applyFont="1" applyFill="1" applyBorder="1"/>
    <xf numFmtId="0" fontId="3" fillId="2" borderId="3" xfId="0" applyFont="1" applyFill="1" applyBorder="1"/>
    <xf numFmtId="44" fontId="3" fillId="2" borderId="1" xfId="0" applyNumberFormat="1" applyFont="1" applyFill="1" applyBorder="1"/>
    <xf numFmtId="44" fontId="3" fillId="2" borderId="0" xfId="0" applyNumberFormat="1" applyFont="1" applyFill="1"/>
    <xf numFmtId="44" fontId="3" fillId="2" borderId="5" xfId="0" applyNumberFormat="1" applyFont="1" applyFill="1" applyBorder="1"/>
    <xf numFmtId="0" fontId="4" fillId="0" borderId="0" xfId="0" applyFont="1"/>
    <xf numFmtId="0" fontId="4" fillId="2" borderId="0" xfId="0" applyFont="1" applyFill="1" applyAlignment="1">
      <alignment horizontal="left"/>
    </xf>
    <xf numFmtId="0" fontId="8" fillId="2" borderId="0" xfId="0" applyFont="1" applyFill="1"/>
    <xf numFmtId="9" fontId="4" fillId="2" borderId="0" xfId="0" applyNumberFormat="1" applyFont="1" applyFill="1" applyProtection="1">
      <protection locked="0"/>
    </xf>
    <xf numFmtId="2" fontId="3" fillId="2" borderId="1" xfId="3" applyNumberFormat="1" applyFont="1" applyFill="1" applyBorder="1" applyProtection="1">
      <protection locked="0"/>
    </xf>
    <xf numFmtId="10" fontId="3" fillId="2" borderId="1" xfId="1" applyNumberFormat="1" applyFont="1" applyFill="1" applyBorder="1" applyProtection="1">
      <protection locked="0"/>
    </xf>
    <xf numFmtId="44" fontId="4" fillId="2" borderId="1" xfId="0" applyNumberFormat="1" applyFont="1" applyFill="1" applyBorder="1" applyProtection="1">
      <protection locked="0"/>
    </xf>
    <xf numFmtId="44" fontId="4" fillId="2" borderId="5" xfId="0" applyNumberFormat="1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0" xfId="0" quotePrefix="1" applyFont="1" applyFill="1" applyProtection="1">
      <protection locked="0"/>
    </xf>
    <xf numFmtId="0" fontId="9" fillId="3" borderId="2" xfId="0" applyFont="1" applyFill="1" applyBorder="1" applyAlignment="1">
      <alignment vertical="top"/>
    </xf>
    <xf numFmtId="0" fontId="4" fillId="2" borderId="1" xfId="3" applyNumberFormat="1" applyFont="1" applyFill="1" applyBorder="1" applyProtection="1"/>
    <xf numFmtId="0" fontId="9" fillId="3" borderId="3" xfId="0" applyFont="1" applyFill="1" applyBorder="1" applyAlignment="1">
      <alignment vertical="top"/>
    </xf>
    <xf numFmtId="14" fontId="3" fillId="2" borderId="0" xfId="0" applyNumberFormat="1" applyFont="1" applyFill="1" applyAlignment="1">
      <alignment horizontal="left"/>
    </xf>
    <xf numFmtId="0" fontId="3" fillId="2" borderId="4" xfId="0" applyFont="1" applyFill="1" applyBorder="1" applyAlignment="1">
      <alignment horizontal="left" vertical="top" wrapText="1"/>
    </xf>
    <xf numFmtId="2" fontId="3" fillId="2" borderId="1" xfId="3" applyNumberFormat="1" applyFont="1" applyFill="1" applyBorder="1" applyProtection="1"/>
    <xf numFmtId="10" fontId="3" fillId="2" borderId="1" xfId="1" applyNumberFormat="1" applyFont="1" applyFill="1" applyBorder="1" applyProtection="1"/>
    <xf numFmtId="44" fontId="4" fillId="2" borderId="1" xfId="0" applyNumberFormat="1" applyFont="1" applyFill="1" applyBorder="1"/>
    <xf numFmtId="44" fontId="4" fillId="2" borderId="0" xfId="0" applyNumberFormat="1" applyFont="1" applyFill="1"/>
    <xf numFmtId="0" fontId="4" fillId="2" borderId="0" xfId="0" applyFont="1" applyFill="1"/>
    <xf numFmtId="0" fontId="4" fillId="2" borderId="6" xfId="0" applyFont="1" applyFill="1" applyBorder="1" applyAlignment="1">
      <alignment vertical="top"/>
    </xf>
    <xf numFmtId="14" fontId="8" fillId="2" borderId="13" xfId="0" applyNumberFormat="1" applyFont="1" applyFill="1" applyBorder="1"/>
    <xf numFmtId="14" fontId="8" fillId="2" borderId="3" xfId="0" applyNumberFormat="1" applyFont="1" applyFill="1" applyBorder="1"/>
    <xf numFmtId="0" fontId="3" fillId="2" borderId="6" xfId="0" applyFont="1" applyFill="1" applyBorder="1"/>
    <xf numFmtId="10" fontId="3" fillId="2" borderId="7" xfId="1" applyNumberFormat="1" applyFont="1" applyFill="1" applyBorder="1" applyProtection="1"/>
    <xf numFmtId="0" fontId="3" fillId="2" borderId="7" xfId="0" applyFont="1" applyFill="1" applyBorder="1"/>
    <xf numFmtId="0" fontId="3" fillId="2" borderId="1" xfId="0" applyFont="1" applyFill="1" applyBorder="1" applyAlignment="1">
      <alignment vertical="top"/>
    </xf>
    <xf numFmtId="9" fontId="3" fillId="2" borderId="1" xfId="1" applyFont="1" applyFill="1" applyBorder="1" applyProtection="1"/>
    <xf numFmtId="0" fontId="4" fillId="4" borderId="1" xfId="0" applyFont="1" applyFill="1" applyBorder="1"/>
    <xf numFmtId="0" fontId="4" fillId="5" borderId="1" xfId="0" applyFont="1" applyFill="1" applyBorder="1"/>
    <xf numFmtId="0" fontId="6" fillId="2" borderId="0" xfId="0" applyFont="1" applyFill="1" applyProtection="1">
      <protection locked="0"/>
    </xf>
    <xf numFmtId="164" fontId="3" fillId="2" borderId="0" xfId="1" applyNumberFormat="1" applyFont="1" applyFill="1" applyProtection="1">
      <protection locked="0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2" fillId="2" borderId="1" xfId="0" applyFont="1" applyFill="1" applyBorder="1"/>
    <xf numFmtId="10" fontId="8" fillId="2" borderId="1" xfId="1" applyNumberFormat="1" applyFont="1" applyFill="1" applyBorder="1" applyProtection="1">
      <protection locked="0"/>
    </xf>
    <xf numFmtId="9" fontId="3" fillId="5" borderId="1" xfId="0" applyNumberFormat="1" applyFont="1" applyFill="1" applyBorder="1" applyProtection="1">
      <protection locked="0"/>
    </xf>
    <xf numFmtId="0" fontId="4" fillId="2" borderId="1" xfId="0" applyFont="1" applyFill="1" applyBorder="1" applyAlignment="1">
      <alignment vertical="top"/>
    </xf>
    <xf numFmtId="0" fontId="4" fillId="0" borderId="1" xfId="2" applyNumberFormat="1" applyFont="1" applyFill="1" applyBorder="1" applyAlignment="1">
      <alignment horizontal="left" vertical="top" wrapText="1"/>
    </xf>
    <xf numFmtId="10" fontId="4" fillId="0" borderId="6" xfId="1" applyNumberFormat="1" applyFont="1" applyFill="1" applyBorder="1" applyAlignment="1">
      <alignment horizontal="left" vertical="top" wrapText="1"/>
    </xf>
    <xf numFmtId="10" fontId="21" fillId="0" borderId="1" xfId="0" applyNumberFormat="1" applyFont="1" applyBorder="1" applyAlignment="1">
      <alignment horizontal="left" vertical="top" wrapText="1"/>
    </xf>
    <xf numFmtId="165" fontId="13" fillId="7" borderId="1" xfId="0" applyNumberFormat="1" applyFont="1" applyFill="1" applyBorder="1" applyAlignment="1">
      <alignment horizontal="left" vertical="top" wrapText="1"/>
    </xf>
    <xf numFmtId="9" fontId="13" fillId="7" borderId="1" xfId="1" applyFont="1" applyFill="1" applyBorder="1" applyAlignment="1">
      <alignment horizontal="left" vertical="top" wrapText="1"/>
    </xf>
    <xf numFmtId="44" fontId="13" fillId="7" borderId="1" xfId="2" applyFont="1" applyFill="1" applyBorder="1" applyAlignment="1">
      <alignment horizontal="left" vertical="top" wrapText="1"/>
    </xf>
    <xf numFmtId="165" fontId="16" fillId="7" borderId="1" xfId="0" applyNumberFormat="1" applyFont="1" applyFill="1" applyBorder="1" applyAlignment="1">
      <alignment horizontal="left" vertical="top" wrapText="1"/>
    </xf>
    <xf numFmtId="165" fontId="4" fillId="7" borderId="1" xfId="0" applyNumberFormat="1" applyFont="1" applyFill="1" applyBorder="1" applyAlignment="1">
      <alignment horizontal="left" vertical="top" wrapText="1"/>
    </xf>
    <xf numFmtId="10" fontId="4" fillId="7" borderId="1" xfId="0" applyNumberFormat="1" applyFont="1" applyFill="1" applyBorder="1" applyAlignment="1">
      <alignment horizontal="left" vertical="top" wrapText="1"/>
    </xf>
    <xf numFmtId="168" fontId="3" fillId="2" borderId="1" xfId="1" applyNumberFormat="1" applyFont="1" applyFill="1" applyBorder="1" applyProtection="1"/>
    <xf numFmtId="0" fontId="3" fillId="2" borderId="1" xfId="0" applyFont="1" applyFill="1" applyBorder="1" applyAlignment="1">
      <alignment horizontal="left"/>
    </xf>
    <xf numFmtId="0" fontId="9" fillId="3" borderId="1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>
      <alignment horizontal="left" vertical="top"/>
    </xf>
    <xf numFmtId="0" fontId="3" fillId="5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wrapText="1"/>
    </xf>
    <xf numFmtId="0" fontId="4" fillId="2" borderId="1" xfId="0" quotePrefix="1" applyFont="1" applyFill="1" applyBorder="1" applyAlignment="1">
      <alignment horizontal="left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9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4" fillId="0" borderId="1" xfId="0" quotePrefix="1" applyFont="1" applyBorder="1" applyAlignment="1">
      <alignment horizontal="left" vertical="top"/>
    </xf>
    <xf numFmtId="0" fontId="4" fillId="0" borderId="1" xfId="0" quotePrefix="1" applyFont="1" applyBorder="1" applyAlignment="1">
      <alignment horizontal="left"/>
    </xf>
  </cellXfs>
  <cellStyles count="5">
    <cellStyle name="Komma" xfId="3" builtinId="3"/>
    <cellStyle name="Procent" xfId="1" builtinId="5"/>
    <cellStyle name="Standaard" xfId="0" builtinId="0"/>
    <cellStyle name="Standaard 2" xfId="4" xr:uid="{AD164240-0975-4376-9963-5D7012D06205}"/>
    <cellStyle name="Valuta" xfId="2" builtinId="4"/>
  </cellStyles>
  <dxfs count="89"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9D75F"/>
        </patternFill>
      </fill>
    </dxf>
    <dxf>
      <font>
        <color theme="1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 tint="-0.499984740745262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9D75F"/>
        </patternFill>
      </fill>
    </dxf>
    <dxf>
      <font>
        <color theme="1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 tint="-0.499984740745262"/>
      </font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9D75F"/>
        </patternFill>
      </fill>
    </dxf>
    <dxf>
      <font>
        <color theme="1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 tint="-0.499984740745262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9D75F"/>
        </patternFill>
      </fill>
    </dxf>
    <dxf>
      <font>
        <color theme="1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 tint="-0.499984740745262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9900"/>
        <name val="Calibri"/>
        <scheme val="minor"/>
      </font>
      <numFmt numFmtId="167" formatCode="000000000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9900"/>
        <name val="Calibri"/>
        <scheme val="minor"/>
      </font>
      <numFmt numFmtId="167" formatCode="000000000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/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7" xr9:uid="{00000000-0011-0000-FFFF-FFFF00000000}">
      <tableStyleElement type="wholeTable" dxfId="88"/>
      <tableStyleElement type="headerRow" dxfId="87"/>
      <tableStyleElement type="totalRow" dxfId="86"/>
      <tableStyleElement type="firstColumn" dxfId="85"/>
      <tableStyleElement type="lastColumn" dxfId="84"/>
      <tableStyleElement type="firstRowStripe" dxfId="83"/>
      <tableStyleElement type="firstColumnStripe" dxfId="82"/>
    </tableStyle>
  </tableStyles>
  <colors>
    <mruColors>
      <color rgb="FFB6C932"/>
      <color rgb="FFC9D75F"/>
      <color rgb="FFB6D5E4"/>
      <color rgb="FF719442"/>
      <color rgb="FFAAC882"/>
      <color rgb="FF86C9F2"/>
      <color rgb="FF0D4E3D"/>
      <color rgb="FF43ABEB"/>
      <color rgb="FF126E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DFF4.303E3DE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19049</xdr:rowOff>
    </xdr:from>
    <xdr:to>
      <xdr:col>1</xdr:col>
      <xdr:colOff>1477521</xdr:colOff>
      <xdr:row>5</xdr:row>
      <xdr:rowOff>101982</xdr:rowOff>
    </xdr:to>
    <xdr:pic>
      <xdr:nvPicPr>
        <xdr:cNvPr id="3" name="logo" descr="Logo PGB Pensioendienst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0974"/>
          <a:ext cx="1450851" cy="73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44449</xdr:rowOff>
    </xdr:from>
    <xdr:to>
      <xdr:col>1</xdr:col>
      <xdr:colOff>1819151</xdr:colOff>
      <xdr:row>5</xdr:row>
      <xdr:rowOff>117222</xdr:rowOff>
    </xdr:to>
    <xdr:pic>
      <xdr:nvPicPr>
        <xdr:cNvPr id="3" name="logo" descr="Logo PGB Pensioendienst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975" y="203199"/>
          <a:ext cx="1447676" cy="74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19049</xdr:rowOff>
    </xdr:from>
    <xdr:to>
      <xdr:col>1</xdr:col>
      <xdr:colOff>1481331</xdr:colOff>
      <xdr:row>5</xdr:row>
      <xdr:rowOff>110872</xdr:rowOff>
    </xdr:to>
    <xdr:pic>
      <xdr:nvPicPr>
        <xdr:cNvPr id="3" name="logo" descr="Logo PGB Pensioendienst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0974"/>
          <a:ext cx="1450851" cy="73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0</xdr:row>
      <xdr:rowOff>144780</xdr:rowOff>
    </xdr:from>
    <xdr:to>
      <xdr:col>1</xdr:col>
      <xdr:colOff>2135505</xdr:colOff>
      <xdr:row>4</xdr:row>
      <xdr:rowOff>2718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B0EC5A8-E82B-7389-1364-6403162D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4780"/>
          <a:ext cx="2051685" cy="619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76199</xdr:rowOff>
    </xdr:from>
    <xdr:to>
      <xdr:col>8</xdr:col>
      <xdr:colOff>111780</xdr:colOff>
      <xdr:row>6</xdr:row>
      <xdr:rowOff>158749</xdr:rowOff>
    </xdr:to>
    <xdr:pic>
      <xdr:nvPicPr>
        <xdr:cNvPr id="5" name="logo" descr="Logo PGB Pensioendienste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76199"/>
          <a:ext cx="241683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ijdvakken" displayName="Tijdvakken" ref="A1:D26" totalsRowShown="0" headerRowDxfId="81" headerRowBorderDxfId="80" tableBorderDxfId="79" totalsRowBorderDxfId="78">
  <autoFilter ref="A1:D26" xr:uid="{00000000-0009-0000-0100-000003000000}"/>
  <tableColumns count="4">
    <tableColumn id="1" xr3:uid="{00000000-0010-0000-0000-000001000000}" name="Sleutel" dataDxfId="77"/>
    <tableColumn id="2" xr3:uid="{00000000-0010-0000-0000-000002000000}" name="Tijdvak" dataDxfId="76"/>
    <tableColumn id="3" xr3:uid="{00000000-0010-0000-0000-000003000000}" name="Aanvang" dataDxfId="75"/>
    <tableColumn id="4" xr3:uid="{00000000-0010-0000-0000-000004000000}" name="Einde" dataDxfId="7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arameters" displayName="Parameters" ref="A1:M76" totalsRowShown="0" headerRowDxfId="73" dataDxfId="71" headerRowBorderDxfId="72" tableBorderDxfId="70" totalsRowBorderDxfId="69">
  <autoFilter ref="A1:M76" xr:uid="{00000000-0009-0000-0100-000002000000}"/>
  <tableColumns count="13">
    <tableColumn id="1" xr3:uid="{00000000-0010-0000-0100-000001000000}" name="Regelingselectie" dataDxfId="68">
      <calculatedColumnFormula>D2&amp;"/"&amp;E2&amp;" ("&amp;B2&amp;")"</calculatedColumnFormula>
    </tableColumn>
    <tableColumn id="2" xr3:uid="{00000000-0010-0000-0100-000002000000}" name="Korte omschrijving" dataDxfId="67"/>
    <tableColumn id="3" xr3:uid="{00000000-0010-0000-0100-000003000000}" name="Regelinggroep" dataDxfId="66"/>
    <tableColumn id="4" xr3:uid="{00000000-0010-0000-0100-000004000000}" name="Regeling kenmerk &lt;RegKnmrk&gt;" dataDxfId="65"/>
    <tableColumn id="5" xr3:uid="{00000000-0010-0000-0100-000005000000}" name="Regeling variant &lt;RegVrnt&gt;" dataDxfId="64"/>
    <tableColumn id="6" xr3:uid="{00000000-0010-0000-0100-000006000000}" name="Omschrijving regeling" dataDxfId="63"/>
    <tableColumn id="7" xr3:uid="{00000000-0010-0000-0100-000007000000}" name="Maximum loon" dataDxfId="62"/>
    <tableColumn id="8" xr3:uid="{00000000-0010-0000-0100-000008000000}" name="Premie% totaal" dataDxfId="61"/>
    <tableColumn id="16" xr3:uid="{00000000-0010-0000-0100-000010000000}" name="Staffel" dataDxfId="60"/>
    <tableColumn id="19" xr3:uid="{00000000-0010-0000-0100-000013000000}" name="Benutting" dataDxfId="59"/>
    <tableColumn id="9" xr3:uid="{00000000-0010-0000-0100-000009000000}" name="Franchise" dataDxfId="58"/>
    <tableColumn id="17" xr3:uid="{00000000-0010-0000-0100-000011000000}" name="afwijking toestaan?" dataDxfId="57"/>
    <tableColumn id="18" xr3:uid="{00000000-0010-0000-0100-000012000000}" name="Rekensheet (filter voor vullen tabblad Regelingselectie)" data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SelPrimo" displayName="SelPrimo" ref="A1:A17" totalsRowShown="0" headerRowDxfId="55">
  <autoFilter ref="A1:A17" xr:uid="{00000000-0009-0000-0100-000005000000}"/>
  <tableColumns count="1">
    <tableColumn id="1" xr3:uid="{00000000-0010-0000-0200-000001000000}" name="Prim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SelUltimoVCR" displayName="SelUltimoVCR" ref="B1:B36" totalsRowShown="0" headerRowDxfId="54">
  <autoFilter ref="B1:B36" xr:uid="{00000000-0009-0000-0100-000006000000}"/>
  <tableColumns count="1">
    <tableColumn id="1" xr3:uid="{00000000-0010-0000-0300-000001000000}" name="Ultimo (VCR)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SelUltimoZeevis" displayName="SelUltimoZeevis" ref="C1:C4" totalsRowShown="0" headerRowDxfId="53">
  <autoFilter ref="C1:C4" xr:uid="{00000000-0009-0000-0100-000007000000}"/>
  <tableColumns count="1">
    <tableColumn id="1" xr3:uid="{00000000-0010-0000-0400-000001000000}" name="Ultimo (Zeevisserij)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351CE7-09C3-4881-8884-5A9919D95D5C}" name="SelUltimoZeevis2" displayName="SelUltimoZeevis2" ref="D1:D6" totalsRowShown="0" headerRowDxfId="52">
  <autoFilter ref="D1:D6" xr:uid="{4C351CE7-09C3-4881-8884-5A9919D95D5C}"/>
  <tableColumns count="1">
    <tableColumn id="1" xr3:uid="{D2E41B9C-464C-4475-80E4-9FD8F3DCE61B}" name="Ultimo (ASF regelingen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C9D75F"/>
  </sheetPr>
  <dimension ref="A1:Q43"/>
  <sheetViews>
    <sheetView tabSelected="1" topLeftCell="C1" zoomScale="250" zoomScaleNormal="250" workbookViewId="0">
      <selection activeCell="F3" sqref="F3:H3"/>
    </sheetView>
  </sheetViews>
  <sheetFormatPr defaultColWidth="9.28515625" defaultRowHeight="12.75" x14ac:dyDescent="0.2"/>
  <cols>
    <col min="1" max="1" width="4.5703125" style="98" customWidth="1"/>
    <col min="2" max="2" width="31.5703125" style="98" customWidth="1"/>
    <col min="3" max="3" width="24.42578125" style="98" customWidth="1"/>
    <col min="4" max="16" width="12.5703125" style="98" customWidth="1"/>
    <col min="17" max="16384" width="9.28515625" style="98"/>
  </cols>
  <sheetData>
    <row r="1" spans="1:17" ht="12.75" customHeight="1" x14ac:dyDescent="0.25">
      <c r="A1" s="96" t="s">
        <v>89</v>
      </c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x14ac:dyDescent="0.2">
      <c r="A2" s="96"/>
      <c r="B2" s="96"/>
      <c r="C2" s="193" t="s">
        <v>111</v>
      </c>
      <c r="D2" s="193"/>
      <c r="E2" s="145"/>
      <c r="F2" s="194" t="s">
        <v>34</v>
      </c>
      <c r="G2" s="194"/>
      <c r="H2" s="194"/>
      <c r="I2" s="194"/>
      <c r="J2" s="194"/>
      <c r="K2" s="194"/>
      <c r="L2" s="194"/>
      <c r="M2" s="194"/>
      <c r="N2" s="128"/>
      <c r="O2" s="154" t="s">
        <v>242</v>
      </c>
      <c r="P2" s="101"/>
    </row>
    <row r="3" spans="1:17" ht="12.75" customHeight="1" x14ac:dyDescent="0.2">
      <c r="A3" s="96"/>
      <c r="B3" s="96"/>
      <c r="C3" s="115" t="s">
        <v>100</v>
      </c>
      <c r="D3" s="11">
        <v>45292</v>
      </c>
      <c r="E3" s="146" t="str">
        <f>VLOOKUP(PRegeling,Parameters[],12,0)</f>
        <v>N.v.t.</v>
      </c>
      <c r="F3" s="195" t="s">
        <v>410</v>
      </c>
      <c r="G3" s="195"/>
      <c r="H3" s="195"/>
      <c r="I3" s="196" t="str">
        <f>VLOOKUP(F3,Parameters!A:F,6,0)</f>
        <v>Ouderdoms- en partnerpensioen vrijwillige DC-regeling met 2%-staffel en primo grondslag</v>
      </c>
      <c r="J3" s="196"/>
      <c r="K3" s="196"/>
      <c r="L3" s="196"/>
      <c r="M3" s="196"/>
      <c r="N3" s="128"/>
      <c r="O3" s="115" t="s">
        <v>66</v>
      </c>
      <c r="P3" s="8" t="s">
        <v>328</v>
      </c>
    </row>
    <row r="4" spans="1:17" x14ac:dyDescent="0.2">
      <c r="A4" s="96"/>
      <c r="B4" s="96"/>
      <c r="C4" s="116" t="s">
        <v>101</v>
      </c>
      <c r="D4" s="12">
        <v>45626</v>
      </c>
      <c r="E4" s="146" t="str">
        <f>IF(OR(E3="Nee",E3="n.v.t."),"Nee",H4)</f>
        <v>Nee</v>
      </c>
      <c r="F4" s="192" t="s">
        <v>235</v>
      </c>
      <c r="G4" s="192"/>
      <c r="H4" s="9" t="s">
        <v>259</v>
      </c>
      <c r="I4" s="196"/>
      <c r="J4" s="196"/>
      <c r="K4" s="196"/>
      <c r="L4" s="196"/>
      <c r="M4" s="196"/>
      <c r="N4" s="128"/>
      <c r="O4" s="115" t="s">
        <v>88</v>
      </c>
      <c r="P4" s="8">
        <v>40</v>
      </c>
    </row>
    <row r="5" spans="1:17" x14ac:dyDescent="0.2">
      <c r="A5" s="96"/>
      <c r="B5" s="96"/>
      <c r="C5" s="117"/>
      <c r="D5" s="117"/>
      <c r="E5" s="146" t="str">
        <f>VLOOKUP(PRegeling,Parameters[],11,0)</f>
        <v>ovk</v>
      </c>
      <c r="F5" s="115" t="s">
        <v>35</v>
      </c>
      <c r="G5" s="181">
        <f>IF(OR(PWGafw="Ja",E5="ovk"),H5,E5)</f>
        <v>15000</v>
      </c>
      <c r="H5" s="10">
        <v>15000</v>
      </c>
      <c r="I5" s="196"/>
      <c r="J5" s="196"/>
      <c r="K5" s="196"/>
      <c r="L5" s="196"/>
      <c r="M5" s="196"/>
      <c r="N5" s="128"/>
      <c r="O5" s="133"/>
      <c r="P5" s="137"/>
    </row>
    <row r="6" spans="1:17" x14ac:dyDescent="0.2">
      <c r="A6" s="96"/>
      <c r="B6" s="96"/>
      <c r="C6" s="197" t="str">
        <f>IF(VLOOKUP(PRegeling,Parameters[],8,0)="staffel","Zie onderin deze sheet voor de afleiding van het premie-percentage (o.b.v. staffel)","")</f>
        <v>Zie onderin deze sheet voor de afleiding van het premie-percentage (o.b.v. staffel)</v>
      </c>
      <c r="D6" s="197"/>
      <c r="E6" s="146" t="str">
        <f>VLOOKUP(PRegeling,Parameters[],7,0)</f>
        <v>ovk</v>
      </c>
      <c r="F6" s="115" t="s">
        <v>36</v>
      </c>
      <c r="G6" s="119">
        <f>IF(OR(PWGafw="Ja",E6="ovk"),H6,E6)</f>
        <v>23000</v>
      </c>
      <c r="H6" s="10">
        <v>23000</v>
      </c>
      <c r="I6" s="196"/>
      <c r="J6" s="196"/>
      <c r="K6" s="196"/>
      <c r="L6" s="196"/>
      <c r="M6" s="196"/>
      <c r="N6" s="128"/>
      <c r="O6" s="115" t="s">
        <v>339</v>
      </c>
      <c r="P6" s="155">
        <f>P4*52</f>
        <v>2080</v>
      </c>
    </row>
    <row r="7" spans="1:17" x14ac:dyDescent="0.2">
      <c r="A7" s="96"/>
      <c r="B7" s="96"/>
      <c r="C7" s="197"/>
      <c r="D7" s="197"/>
      <c r="E7" s="146" t="str">
        <f>VLOOKUP(PRegeling,Parameters[],8,0)</f>
        <v>staffel</v>
      </c>
      <c r="F7" s="115" t="s">
        <v>102</v>
      </c>
      <c r="G7" s="121">
        <f>IF(E7="staffel",H41,IF(OR(PWGafw="Ja",E7="ovk"),H7,E7))</f>
        <v>0.34300000000000003</v>
      </c>
      <c r="H7" s="179">
        <v>0.24</v>
      </c>
      <c r="I7" s="196"/>
      <c r="J7" s="196"/>
      <c r="K7" s="196"/>
      <c r="L7" s="196"/>
      <c r="M7" s="196"/>
      <c r="N7" s="128"/>
      <c r="O7" s="115" t="s">
        <v>67</v>
      </c>
      <c r="P7" s="115">
        <f>IF(P3="Maandelijks",12,13)</f>
        <v>12</v>
      </c>
    </row>
    <row r="8" spans="1:17" ht="12.75" customHeight="1" x14ac:dyDescent="0.25">
      <c r="B8" s="174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7" hidden="1" x14ac:dyDescent="0.2">
      <c r="D9" s="98">
        <v>1</v>
      </c>
      <c r="E9" s="98">
        <v>2</v>
      </c>
      <c r="F9" s="98">
        <v>3</v>
      </c>
      <c r="G9" s="98">
        <v>4</v>
      </c>
      <c r="H9" s="98">
        <v>5</v>
      </c>
      <c r="I9" s="98">
        <v>6</v>
      </c>
      <c r="J9" s="98">
        <v>7</v>
      </c>
      <c r="K9" s="98">
        <v>8</v>
      </c>
      <c r="L9" s="98">
        <v>9</v>
      </c>
      <c r="M9" s="98">
        <v>10</v>
      </c>
      <c r="N9" s="98">
        <v>11</v>
      </c>
      <c r="O9" s="98">
        <v>12</v>
      </c>
      <c r="P9" s="98">
        <v>13</v>
      </c>
    </row>
    <row r="10" spans="1:17" s="104" customFormat="1" x14ac:dyDescent="0.2">
      <c r="B10" s="129" t="s">
        <v>90</v>
      </c>
      <c r="C10" s="129" t="s">
        <v>0</v>
      </c>
      <c r="D10" s="129" t="str">
        <f>VLOOKUP($P$3&amp;D9,Tijdvakken[],2,0)</f>
        <v>Januari</v>
      </c>
      <c r="E10" s="129" t="str">
        <f>VLOOKUP($P$3&amp;E9,Tijdvakken[],2,0)</f>
        <v>Februari</v>
      </c>
      <c r="F10" s="129" t="str">
        <f>VLOOKUP($P$3&amp;F9,Tijdvakken[],2,0)</f>
        <v>Maart</v>
      </c>
      <c r="G10" s="129" t="str">
        <f>VLOOKUP($P$3&amp;G9,Tijdvakken[],2,0)</f>
        <v>April</v>
      </c>
      <c r="H10" s="129" t="str">
        <f>VLOOKUP($P$3&amp;H9,Tijdvakken[],2,0)</f>
        <v>Mei</v>
      </c>
      <c r="I10" s="129" t="str">
        <f>VLOOKUP($P$3&amp;I9,Tijdvakken[],2,0)</f>
        <v>Juni</v>
      </c>
      <c r="J10" s="129" t="str">
        <f>VLOOKUP($P$3&amp;J9,Tijdvakken[],2,0)</f>
        <v>Juli</v>
      </c>
      <c r="K10" s="129" t="str">
        <f>VLOOKUP($P$3&amp;K9,Tijdvakken[],2,0)</f>
        <v>Augustus</v>
      </c>
      <c r="L10" s="129" t="str">
        <f>VLOOKUP($P$3&amp;L9,Tijdvakken[],2,0)</f>
        <v>September</v>
      </c>
      <c r="M10" s="129" t="str">
        <f>VLOOKUP($P$3&amp;M9,Tijdvakken[],2,0)</f>
        <v>Oktober</v>
      </c>
      <c r="N10" s="129" t="str">
        <f>VLOOKUP($P$3&amp;N9,Tijdvakken[],2,0)</f>
        <v>November</v>
      </c>
      <c r="O10" s="129" t="str">
        <f>VLOOKUP($P$3&amp;O9,Tijdvakken[],2,0)</f>
        <v>December</v>
      </c>
      <c r="P10" s="105" t="e">
        <f>VLOOKUP($P$3&amp;P9,Tijdvakken[],2,0)</f>
        <v>#N/A</v>
      </c>
    </row>
    <row r="11" spans="1:17" x14ac:dyDescent="0.2">
      <c r="B11" s="130" t="s">
        <v>97</v>
      </c>
      <c r="C11" s="172" t="s">
        <v>3</v>
      </c>
      <c r="D11" s="132">
        <f t="shared" ref="D11:P11" si="0">VLOOKUP(D10,TabelTijdvak,2,0)</f>
        <v>45658</v>
      </c>
      <c r="E11" s="132">
        <f t="shared" si="0"/>
        <v>45689</v>
      </c>
      <c r="F11" s="132">
        <f t="shared" si="0"/>
        <v>45717</v>
      </c>
      <c r="G11" s="132">
        <f t="shared" si="0"/>
        <v>45748</v>
      </c>
      <c r="H11" s="132">
        <f t="shared" si="0"/>
        <v>45778</v>
      </c>
      <c r="I11" s="132">
        <f t="shared" si="0"/>
        <v>45809</v>
      </c>
      <c r="J11" s="132">
        <f t="shared" si="0"/>
        <v>45839</v>
      </c>
      <c r="K11" s="132">
        <f t="shared" si="0"/>
        <v>45870</v>
      </c>
      <c r="L11" s="132">
        <f t="shared" si="0"/>
        <v>45901</v>
      </c>
      <c r="M11" s="132">
        <f t="shared" si="0"/>
        <v>45931</v>
      </c>
      <c r="N11" s="132">
        <f t="shared" si="0"/>
        <v>45962</v>
      </c>
      <c r="O11" s="132">
        <f t="shared" si="0"/>
        <v>45992</v>
      </c>
      <c r="P11" s="107" t="e">
        <f t="shared" si="0"/>
        <v>#N/A</v>
      </c>
    </row>
    <row r="12" spans="1:17" x14ac:dyDescent="0.2">
      <c r="B12" s="130" t="s">
        <v>98</v>
      </c>
      <c r="C12" s="172" t="s">
        <v>4</v>
      </c>
      <c r="D12" s="132">
        <f t="shared" ref="D12:P12" si="1">VLOOKUP(D10,TabelTijdvak,3,0)</f>
        <v>45688</v>
      </c>
      <c r="E12" s="132">
        <f t="shared" si="1"/>
        <v>45716</v>
      </c>
      <c r="F12" s="132">
        <f t="shared" si="1"/>
        <v>45747</v>
      </c>
      <c r="G12" s="132">
        <f t="shared" si="1"/>
        <v>45777</v>
      </c>
      <c r="H12" s="132">
        <f t="shared" si="1"/>
        <v>45808</v>
      </c>
      <c r="I12" s="132">
        <f t="shared" si="1"/>
        <v>45838</v>
      </c>
      <c r="J12" s="132">
        <f t="shared" si="1"/>
        <v>45869</v>
      </c>
      <c r="K12" s="132">
        <f t="shared" si="1"/>
        <v>45900</v>
      </c>
      <c r="L12" s="132">
        <f t="shared" si="1"/>
        <v>45930</v>
      </c>
      <c r="M12" s="132">
        <f t="shared" si="1"/>
        <v>45961</v>
      </c>
      <c r="N12" s="132">
        <f t="shared" si="1"/>
        <v>45991</v>
      </c>
      <c r="O12" s="132">
        <f t="shared" si="1"/>
        <v>46022</v>
      </c>
      <c r="P12" s="107" t="e">
        <f t="shared" si="1"/>
        <v>#N/A</v>
      </c>
    </row>
    <row r="13" spans="1:17" x14ac:dyDescent="0.2">
      <c r="B13" s="133"/>
      <c r="C13" s="128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08"/>
    </row>
    <row r="14" spans="1:17" x14ac:dyDescent="0.2">
      <c r="B14" s="130" t="s">
        <v>96</v>
      </c>
      <c r="C14" s="172" t="s">
        <v>30</v>
      </c>
      <c r="D14" s="132" t="str">
        <f>IF(OR($D$3&gt;D12,AND($D$4&lt;D11,$D$4&lt;&gt;0)),"",MAX(D11,$D$3))</f>
        <v/>
      </c>
      <c r="E14" s="132" t="str">
        <f t="shared" ref="E14:P14" si="2">IF(OR($D$3&gt;E12,AND($D$4&lt;E11,$D$4&lt;&gt;0)),"",MAX(E11,$D$3))</f>
        <v/>
      </c>
      <c r="F14" s="132" t="str">
        <f t="shared" si="2"/>
        <v/>
      </c>
      <c r="G14" s="132" t="str">
        <f t="shared" si="2"/>
        <v/>
      </c>
      <c r="H14" s="132" t="str">
        <f t="shared" si="2"/>
        <v/>
      </c>
      <c r="I14" s="132" t="str">
        <f t="shared" si="2"/>
        <v/>
      </c>
      <c r="J14" s="132" t="str">
        <f t="shared" si="2"/>
        <v/>
      </c>
      <c r="K14" s="132" t="str">
        <f t="shared" si="2"/>
        <v/>
      </c>
      <c r="L14" s="132" t="str">
        <f t="shared" si="2"/>
        <v/>
      </c>
      <c r="M14" s="132" t="str">
        <f t="shared" si="2"/>
        <v/>
      </c>
      <c r="N14" s="132" t="str">
        <f t="shared" si="2"/>
        <v/>
      </c>
      <c r="O14" s="132" t="str">
        <f t="shared" si="2"/>
        <v/>
      </c>
      <c r="P14" s="107" t="e">
        <f t="shared" si="2"/>
        <v>#N/A</v>
      </c>
    </row>
    <row r="15" spans="1:17" x14ac:dyDescent="0.2">
      <c r="B15" s="202" t="s">
        <v>99</v>
      </c>
      <c r="C15" s="172" t="s">
        <v>31</v>
      </c>
      <c r="D15" s="132" t="str">
        <f>IF(OR($D$3&gt;D12,AND($D$4&lt;D11,$D$4&lt;&gt;0)),"",MIN(D12,$D$4))</f>
        <v/>
      </c>
      <c r="E15" s="132" t="str">
        <f t="shared" ref="E15:P15" si="3">IF(OR($D$3&gt;E12,AND($D$4&lt;E11,$D$4&lt;&gt;0)),"",MIN(E12,$D$4))</f>
        <v/>
      </c>
      <c r="F15" s="132" t="str">
        <f t="shared" si="3"/>
        <v/>
      </c>
      <c r="G15" s="132" t="str">
        <f t="shared" si="3"/>
        <v/>
      </c>
      <c r="H15" s="132" t="str">
        <f t="shared" si="3"/>
        <v/>
      </c>
      <c r="I15" s="132" t="str">
        <f t="shared" si="3"/>
        <v/>
      </c>
      <c r="J15" s="132" t="str">
        <f t="shared" si="3"/>
        <v/>
      </c>
      <c r="K15" s="132" t="str">
        <f t="shared" si="3"/>
        <v/>
      </c>
      <c r="L15" s="132" t="str">
        <f t="shared" si="3"/>
        <v/>
      </c>
      <c r="M15" s="132" t="str">
        <f t="shared" si="3"/>
        <v/>
      </c>
      <c r="N15" s="132" t="str">
        <f t="shared" si="3"/>
        <v/>
      </c>
      <c r="O15" s="132" t="str">
        <f t="shared" si="3"/>
        <v/>
      </c>
      <c r="P15" s="107" t="e">
        <f t="shared" si="3"/>
        <v>#N/A</v>
      </c>
    </row>
    <row r="16" spans="1:17" x14ac:dyDescent="0.2">
      <c r="B16" s="202"/>
      <c r="C16" s="176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08"/>
    </row>
    <row r="17" spans="2:17" x14ac:dyDescent="0.2">
      <c r="B17" s="133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09"/>
    </row>
    <row r="18" spans="2:17" x14ac:dyDescent="0.2">
      <c r="B18" s="130" t="s">
        <v>95</v>
      </c>
      <c r="C18" s="172" t="s">
        <v>32</v>
      </c>
      <c r="D18" s="110">
        <v>50000</v>
      </c>
      <c r="E18" s="110">
        <v>50000</v>
      </c>
      <c r="F18" s="110">
        <v>50000</v>
      </c>
      <c r="G18" s="110">
        <v>50000</v>
      </c>
      <c r="H18" s="110">
        <v>50000</v>
      </c>
      <c r="I18" s="110">
        <v>50000</v>
      </c>
      <c r="J18" s="110">
        <v>50000</v>
      </c>
      <c r="K18" s="110">
        <v>50000</v>
      </c>
      <c r="L18" s="110">
        <v>50000</v>
      </c>
      <c r="M18" s="110">
        <v>50000</v>
      </c>
      <c r="N18" s="110">
        <v>50000</v>
      </c>
      <c r="O18" s="110">
        <v>50000</v>
      </c>
      <c r="P18" s="110"/>
    </row>
    <row r="19" spans="2:17" x14ac:dyDescent="0.2">
      <c r="B19" s="130" t="s">
        <v>92</v>
      </c>
      <c r="C19" s="172" t="s">
        <v>91</v>
      </c>
      <c r="D19" s="9">
        <v>156</v>
      </c>
      <c r="E19" s="9">
        <v>156</v>
      </c>
      <c r="F19" s="9">
        <v>156</v>
      </c>
      <c r="G19" s="9">
        <v>156</v>
      </c>
      <c r="H19" s="9">
        <v>173.33</v>
      </c>
      <c r="I19" s="9">
        <v>173.33</v>
      </c>
      <c r="J19" s="9">
        <v>173.33</v>
      </c>
      <c r="K19" s="9">
        <v>173.33</v>
      </c>
      <c r="L19" s="9">
        <v>173.33</v>
      </c>
      <c r="M19" s="9">
        <v>173.33</v>
      </c>
      <c r="N19" s="9">
        <v>173.33</v>
      </c>
      <c r="O19" s="9">
        <v>173.33</v>
      </c>
      <c r="P19" s="9"/>
    </row>
    <row r="20" spans="2:17" x14ac:dyDescent="0.2">
      <c r="B20" s="133"/>
      <c r="C20" s="146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09"/>
    </row>
    <row r="21" spans="2:17" x14ac:dyDescent="0.2">
      <c r="B21" s="130" t="s">
        <v>105</v>
      </c>
      <c r="C21" s="130" t="s">
        <v>33</v>
      </c>
      <c r="D21" s="130">
        <f>ROUND(IF(AND(D11=D14,D12=D15),1,IF(D14="",0,(D15-D14+1)/(D12-D11+1))),4)</f>
        <v>0</v>
      </c>
      <c r="E21" s="130">
        <f t="shared" ref="E21:P21" si="4">ROUND(IF(AND(E11=E14,E12=E15),1,IF(E14="",0,(E15-E14+1)/(E12-E11+1))),4)</f>
        <v>0</v>
      </c>
      <c r="F21" s="130">
        <f t="shared" si="4"/>
        <v>0</v>
      </c>
      <c r="G21" s="130">
        <f t="shared" si="4"/>
        <v>0</v>
      </c>
      <c r="H21" s="130">
        <f t="shared" si="4"/>
        <v>0</v>
      </c>
      <c r="I21" s="130">
        <f t="shared" si="4"/>
        <v>0</v>
      </c>
      <c r="J21" s="130">
        <f t="shared" si="4"/>
        <v>0</v>
      </c>
      <c r="K21" s="130">
        <f t="shared" si="4"/>
        <v>0</v>
      </c>
      <c r="L21" s="130">
        <f t="shared" si="4"/>
        <v>0</v>
      </c>
      <c r="M21" s="130">
        <f t="shared" si="4"/>
        <v>0</v>
      </c>
      <c r="N21" s="130">
        <f t="shared" si="4"/>
        <v>0</v>
      </c>
      <c r="O21" s="130">
        <f t="shared" si="4"/>
        <v>0</v>
      </c>
      <c r="P21" s="106" t="e">
        <f t="shared" si="4"/>
        <v>#N/A</v>
      </c>
    </row>
    <row r="22" spans="2:17" x14ac:dyDescent="0.2">
      <c r="B22" s="130" t="s">
        <v>104</v>
      </c>
      <c r="C22" s="130" t="s">
        <v>74</v>
      </c>
      <c r="D22" s="130">
        <f t="shared" ref="D22:P22" si="5">ROUND(PMaxDuur/PTijdvakkenMax*D21,2)</f>
        <v>0</v>
      </c>
      <c r="E22" s="130">
        <f t="shared" si="5"/>
        <v>0</v>
      </c>
      <c r="F22" s="130">
        <f t="shared" si="5"/>
        <v>0</v>
      </c>
      <c r="G22" s="130">
        <f t="shared" si="5"/>
        <v>0</v>
      </c>
      <c r="H22" s="130">
        <f t="shared" si="5"/>
        <v>0</v>
      </c>
      <c r="I22" s="130">
        <f t="shared" si="5"/>
        <v>0</v>
      </c>
      <c r="J22" s="130">
        <f t="shared" si="5"/>
        <v>0</v>
      </c>
      <c r="K22" s="130">
        <f t="shared" si="5"/>
        <v>0</v>
      </c>
      <c r="L22" s="130">
        <f t="shared" si="5"/>
        <v>0</v>
      </c>
      <c r="M22" s="130">
        <f t="shared" si="5"/>
        <v>0</v>
      </c>
      <c r="N22" s="130">
        <f t="shared" si="5"/>
        <v>0</v>
      </c>
      <c r="O22" s="130">
        <f t="shared" si="5"/>
        <v>0</v>
      </c>
      <c r="P22" s="106" t="e">
        <f t="shared" si="5"/>
        <v>#N/A</v>
      </c>
    </row>
    <row r="23" spans="2:17" x14ac:dyDescent="0.2">
      <c r="B23" s="130" t="s">
        <v>103</v>
      </c>
      <c r="C23" s="130" t="s">
        <v>110</v>
      </c>
      <c r="D23" s="160">
        <f>IFERROR(MIN(D19/D22,1),0)</f>
        <v>0</v>
      </c>
      <c r="E23" s="160">
        <f t="shared" ref="E23:P23" si="6">IFERROR(MIN(E19/E22,1),0)</f>
        <v>0</v>
      </c>
      <c r="F23" s="160">
        <f t="shared" si="6"/>
        <v>0</v>
      </c>
      <c r="G23" s="160">
        <f t="shared" si="6"/>
        <v>0</v>
      </c>
      <c r="H23" s="160">
        <f t="shared" si="6"/>
        <v>0</v>
      </c>
      <c r="I23" s="160">
        <f t="shared" si="6"/>
        <v>0</v>
      </c>
      <c r="J23" s="160">
        <f t="shared" si="6"/>
        <v>0</v>
      </c>
      <c r="K23" s="160">
        <f t="shared" si="6"/>
        <v>0</v>
      </c>
      <c r="L23" s="160">
        <f t="shared" si="6"/>
        <v>0</v>
      </c>
      <c r="M23" s="160">
        <f t="shared" si="6"/>
        <v>0</v>
      </c>
      <c r="N23" s="160">
        <f t="shared" si="6"/>
        <v>0</v>
      </c>
      <c r="O23" s="160">
        <f t="shared" si="6"/>
        <v>0</v>
      </c>
      <c r="P23" s="149">
        <f t="shared" si="6"/>
        <v>0</v>
      </c>
      <c r="Q23" s="175"/>
    </row>
    <row r="24" spans="2:17" x14ac:dyDescent="0.2">
      <c r="B24" s="133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09"/>
    </row>
    <row r="25" spans="2:17" x14ac:dyDescent="0.2">
      <c r="B25" s="130" t="s">
        <v>106</v>
      </c>
      <c r="C25" s="130" t="s">
        <v>85</v>
      </c>
      <c r="D25" s="141">
        <f>IF(D14="",0,D18)</f>
        <v>0</v>
      </c>
      <c r="E25" s="141">
        <f t="shared" ref="E25:P25" si="7">IF(E14="",0,E18)</f>
        <v>0</v>
      </c>
      <c r="F25" s="141">
        <f t="shared" si="7"/>
        <v>0</v>
      </c>
      <c r="G25" s="141">
        <f t="shared" si="7"/>
        <v>0</v>
      </c>
      <c r="H25" s="141">
        <f t="shared" si="7"/>
        <v>0</v>
      </c>
      <c r="I25" s="141">
        <f t="shared" si="7"/>
        <v>0</v>
      </c>
      <c r="J25" s="141">
        <f t="shared" si="7"/>
        <v>0</v>
      </c>
      <c r="K25" s="141">
        <f t="shared" si="7"/>
        <v>0</v>
      </c>
      <c r="L25" s="141">
        <f t="shared" si="7"/>
        <v>0</v>
      </c>
      <c r="M25" s="141">
        <f t="shared" si="7"/>
        <v>0</v>
      </c>
      <c r="N25" s="141">
        <f t="shared" si="7"/>
        <v>0</v>
      </c>
      <c r="O25" s="141">
        <f t="shared" si="7"/>
        <v>0</v>
      </c>
      <c r="P25" s="111" t="e">
        <f t="shared" si="7"/>
        <v>#N/A</v>
      </c>
    </row>
    <row r="26" spans="2:17" x14ac:dyDescent="0.2">
      <c r="B26" s="130" t="s">
        <v>103</v>
      </c>
      <c r="C26" s="130" t="s">
        <v>86</v>
      </c>
      <c r="D26" s="141">
        <f t="shared" ref="D26:P26" si="8">MAX(MIN(D25,PMaxLoon)-PFranchise,0)</f>
        <v>0</v>
      </c>
      <c r="E26" s="141">
        <f t="shared" si="8"/>
        <v>0</v>
      </c>
      <c r="F26" s="141">
        <f t="shared" si="8"/>
        <v>0</v>
      </c>
      <c r="G26" s="141">
        <f t="shared" si="8"/>
        <v>0</v>
      </c>
      <c r="H26" s="141">
        <f t="shared" si="8"/>
        <v>0</v>
      </c>
      <c r="I26" s="141">
        <f t="shared" si="8"/>
        <v>0</v>
      </c>
      <c r="J26" s="141">
        <f t="shared" si="8"/>
        <v>0</v>
      </c>
      <c r="K26" s="141">
        <f t="shared" si="8"/>
        <v>0</v>
      </c>
      <c r="L26" s="141">
        <f t="shared" si="8"/>
        <v>0</v>
      </c>
      <c r="M26" s="141">
        <f t="shared" si="8"/>
        <v>0</v>
      </c>
      <c r="N26" s="141">
        <f t="shared" si="8"/>
        <v>0</v>
      </c>
      <c r="O26" s="141">
        <f t="shared" si="8"/>
        <v>0</v>
      </c>
      <c r="P26" s="111" t="e">
        <f t="shared" si="8"/>
        <v>#N/A</v>
      </c>
    </row>
    <row r="27" spans="2:17" x14ac:dyDescent="0.2">
      <c r="B27" s="130" t="s">
        <v>103</v>
      </c>
      <c r="C27" s="130" t="s">
        <v>87</v>
      </c>
      <c r="D27" s="141">
        <f t="shared" ref="D27" si="9">D26*D23</f>
        <v>0</v>
      </c>
      <c r="E27" s="141">
        <f t="shared" ref="E27:P27" si="10">E26*E23</f>
        <v>0</v>
      </c>
      <c r="F27" s="141">
        <f t="shared" si="10"/>
        <v>0</v>
      </c>
      <c r="G27" s="141">
        <f t="shared" si="10"/>
        <v>0</v>
      </c>
      <c r="H27" s="141">
        <f t="shared" si="10"/>
        <v>0</v>
      </c>
      <c r="I27" s="141">
        <f t="shared" si="10"/>
        <v>0</v>
      </c>
      <c r="J27" s="141">
        <f t="shared" si="10"/>
        <v>0</v>
      </c>
      <c r="K27" s="141">
        <f t="shared" si="10"/>
        <v>0</v>
      </c>
      <c r="L27" s="141">
        <f t="shared" si="10"/>
        <v>0</v>
      </c>
      <c r="M27" s="141">
        <f t="shared" si="10"/>
        <v>0</v>
      </c>
      <c r="N27" s="141">
        <f t="shared" si="10"/>
        <v>0</v>
      </c>
      <c r="O27" s="141">
        <f t="shared" si="10"/>
        <v>0</v>
      </c>
      <c r="P27" s="111" t="e">
        <f t="shared" si="10"/>
        <v>#N/A</v>
      </c>
    </row>
    <row r="28" spans="2:17" hidden="1" x14ac:dyDescent="0.2">
      <c r="B28" s="130"/>
      <c r="C28" s="130" t="s">
        <v>108</v>
      </c>
      <c r="D28" s="141">
        <f t="shared" ref="D28:P28" si="11">D27*PPremiePercentage</f>
        <v>0</v>
      </c>
      <c r="E28" s="141">
        <f t="shared" si="11"/>
        <v>0</v>
      </c>
      <c r="F28" s="141">
        <f t="shared" si="11"/>
        <v>0</v>
      </c>
      <c r="G28" s="141">
        <f t="shared" si="11"/>
        <v>0</v>
      </c>
      <c r="H28" s="141">
        <f t="shared" si="11"/>
        <v>0</v>
      </c>
      <c r="I28" s="141">
        <f t="shared" si="11"/>
        <v>0</v>
      </c>
      <c r="J28" s="141">
        <f t="shared" si="11"/>
        <v>0</v>
      </c>
      <c r="K28" s="141">
        <f t="shared" si="11"/>
        <v>0</v>
      </c>
      <c r="L28" s="141">
        <f t="shared" si="11"/>
        <v>0</v>
      </c>
      <c r="M28" s="141">
        <f t="shared" si="11"/>
        <v>0</v>
      </c>
      <c r="N28" s="141">
        <f t="shared" si="11"/>
        <v>0</v>
      </c>
      <c r="O28" s="141">
        <f t="shared" si="11"/>
        <v>0</v>
      </c>
      <c r="P28" s="111" t="e">
        <f t="shared" si="11"/>
        <v>#N/A</v>
      </c>
    </row>
    <row r="29" spans="2:17" x14ac:dyDescent="0.2">
      <c r="B29" s="133"/>
      <c r="C29" s="128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12"/>
    </row>
    <row r="30" spans="2:17" x14ac:dyDescent="0.2">
      <c r="B30" s="130" t="s">
        <v>93</v>
      </c>
      <c r="C30" s="172" t="s">
        <v>77</v>
      </c>
      <c r="D30" s="141">
        <f t="shared" ref="D30:P30" si="12">ROUND(D27/PTijdvakkenMax*D21,2)</f>
        <v>0</v>
      </c>
      <c r="E30" s="141">
        <f t="shared" si="12"/>
        <v>0</v>
      </c>
      <c r="F30" s="141">
        <f t="shared" si="12"/>
        <v>0</v>
      </c>
      <c r="G30" s="141">
        <f t="shared" si="12"/>
        <v>0</v>
      </c>
      <c r="H30" s="141">
        <f t="shared" si="12"/>
        <v>0</v>
      </c>
      <c r="I30" s="141">
        <f t="shared" si="12"/>
        <v>0</v>
      </c>
      <c r="J30" s="141">
        <f t="shared" si="12"/>
        <v>0</v>
      </c>
      <c r="K30" s="141">
        <f t="shared" si="12"/>
        <v>0</v>
      </c>
      <c r="L30" s="141">
        <f t="shared" si="12"/>
        <v>0</v>
      </c>
      <c r="M30" s="141">
        <f t="shared" si="12"/>
        <v>0</v>
      </c>
      <c r="N30" s="141">
        <f t="shared" si="12"/>
        <v>0</v>
      </c>
      <c r="O30" s="141">
        <f t="shared" si="12"/>
        <v>0</v>
      </c>
      <c r="P30" s="111" t="e">
        <f t="shared" si="12"/>
        <v>#N/A</v>
      </c>
    </row>
    <row r="31" spans="2:17" x14ac:dyDescent="0.2">
      <c r="B31" s="130" t="s">
        <v>94</v>
      </c>
      <c r="C31" s="172" t="s">
        <v>38</v>
      </c>
      <c r="D31" s="141">
        <f t="shared" ref="D31:P31" si="13">ROUND(D30*PPremiePercentage,2)</f>
        <v>0</v>
      </c>
      <c r="E31" s="141">
        <f t="shared" si="13"/>
        <v>0</v>
      </c>
      <c r="F31" s="141">
        <f t="shared" si="13"/>
        <v>0</v>
      </c>
      <c r="G31" s="141">
        <f t="shared" si="13"/>
        <v>0</v>
      </c>
      <c r="H31" s="141">
        <f t="shared" si="13"/>
        <v>0</v>
      </c>
      <c r="I31" s="141">
        <f t="shared" si="13"/>
        <v>0</v>
      </c>
      <c r="J31" s="141">
        <f t="shared" si="13"/>
        <v>0</v>
      </c>
      <c r="K31" s="141">
        <f t="shared" si="13"/>
        <v>0</v>
      </c>
      <c r="L31" s="141">
        <f t="shared" si="13"/>
        <v>0</v>
      </c>
      <c r="M31" s="141">
        <f t="shared" si="13"/>
        <v>0</v>
      </c>
      <c r="N31" s="141">
        <f t="shared" si="13"/>
        <v>0</v>
      </c>
      <c r="O31" s="141">
        <f t="shared" si="13"/>
        <v>0</v>
      </c>
      <c r="P31" s="111" t="e">
        <f t="shared" si="13"/>
        <v>#N/A</v>
      </c>
    </row>
    <row r="32" spans="2:17" x14ac:dyDescent="0.2">
      <c r="B32" s="130"/>
      <c r="C32" s="130" t="s">
        <v>40</v>
      </c>
      <c r="D32" s="141">
        <f>SUM($D31:D31)</f>
        <v>0</v>
      </c>
      <c r="E32" s="141">
        <f>SUM($D31:E31)</f>
        <v>0</v>
      </c>
      <c r="F32" s="141">
        <f>SUM($D31:F31)</f>
        <v>0</v>
      </c>
      <c r="G32" s="141">
        <f>SUM($D31:G31)</f>
        <v>0</v>
      </c>
      <c r="H32" s="141">
        <f>SUM($D31:H31)</f>
        <v>0</v>
      </c>
      <c r="I32" s="141">
        <f>SUM($D31:I31)</f>
        <v>0</v>
      </c>
      <c r="J32" s="141">
        <f>SUM($D31:J31)</f>
        <v>0</v>
      </c>
      <c r="K32" s="141">
        <f>SUM($D31:K31)</f>
        <v>0</v>
      </c>
      <c r="L32" s="141">
        <f>SUM($D31:L31)</f>
        <v>0</v>
      </c>
      <c r="M32" s="141">
        <f>SUM($D31:M31)</f>
        <v>0</v>
      </c>
      <c r="N32" s="141">
        <f>SUM($D31:N31)</f>
        <v>0</v>
      </c>
      <c r="O32" s="141">
        <f>SUM($D31:O31)</f>
        <v>0</v>
      </c>
      <c r="P32" s="111" t="e">
        <f>SUM($D31:P31)</f>
        <v>#N/A</v>
      </c>
    </row>
    <row r="35" spans="3:16" x14ac:dyDescent="0.2">
      <c r="C35" s="193" t="s">
        <v>243</v>
      </c>
      <c r="D35" s="193"/>
      <c r="E35" s="193"/>
      <c r="F35" s="193"/>
      <c r="G35" s="193"/>
      <c r="H35" s="193"/>
      <c r="J35" s="128"/>
      <c r="K35" s="128"/>
      <c r="L35" s="128"/>
      <c r="M35" s="172"/>
      <c r="N35" s="203" t="s">
        <v>83</v>
      </c>
      <c r="O35" s="203"/>
      <c r="P35" s="128"/>
    </row>
    <row r="36" spans="3:16" x14ac:dyDescent="0.2">
      <c r="C36" s="164" t="s">
        <v>234</v>
      </c>
      <c r="D36" s="12">
        <v>22825</v>
      </c>
      <c r="E36" s="204" t="s">
        <v>268</v>
      </c>
      <c r="F36" s="204"/>
      <c r="G36" s="204"/>
      <c r="H36" s="167">
        <f>IF(D36="","",IF(DATE(YEAR(H37),MONTH(D36),DAY(D36))&lt;=H37,YEAR(H37)-YEAR(D36),YEAR(H37)-YEAR(D36)-1))</f>
        <v>62</v>
      </c>
      <c r="J36" s="128"/>
      <c r="K36" s="128"/>
      <c r="L36" s="128"/>
      <c r="M36" s="173"/>
      <c r="N36" s="205" t="s">
        <v>84</v>
      </c>
      <c r="O36" s="205"/>
      <c r="P36" s="128"/>
    </row>
    <row r="37" spans="3:16" x14ac:dyDescent="0.2">
      <c r="C37" s="138"/>
      <c r="D37" s="139"/>
      <c r="E37" s="139"/>
      <c r="F37" s="165"/>
      <c r="G37" s="165"/>
      <c r="H37" s="166">
        <f>MAX(D11,D3)</f>
        <v>45658</v>
      </c>
      <c r="J37" s="128"/>
      <c r="K37" s="128"/>
      <c r="L37" s="128"/>
      <c r="M37" s="128"/>
      <c r="N37" s="128"/>
      <c r="O37" s="128"/>
      <c r="P37" s="128"/>
    </row>
    <row r="38" spans="3:16" x14ac:dyDescent="0.2">
      <c r="C38" s="169" t="s">
        <v>275</v>
      </c>
      <c r="D38" s="128"/>
      <c r="E38" s="18" t="s">
        <v>236</v>
      </c>
      <c r="F38" s="198" t="s">
        <v>245</v>
      </c>
      <c r="G38" s="198"/>
      <c r="H38" s="168">
        <f>HLOOKUP(D39,Staffels!1:13,MATCH(H36,Staffels!A:A,1),0)</f>
        <v>0.34300000000000003</v>
      </c>
      <c r="J38" s="197" t="str">
        <f>""</f>
        <v/>
      </c>
      <c r="K38" s="197"/>
      <c r="L38" s="128"/>
      <c r="M38" s="128"/>
      <c r="N38" s="128"/>
      <c r="O38" s="128"/>
      <c r="P38" s="128"/>
    </row>
    <row r="39" spans="3:16" ht="12.75" customHeight="1" x14ac:dyDescent="0.2">
      <c r="C39" s="130" t="s">
        <v>258</v>
      </c>
      <c r="D39" s="130" t="str">
        <f>IF(E38="Ja",E39,VLOOKUP(PRegeling,Parameters[],9,0))</f>
        <v>2025-15</v>
      </c>
      <c r="E39" s="18" t="s">
        <v>515</v>
      </c>
      <c r="F39" s="192" t="s">
        <v>246</v>
      </c>
      <c r="G39" s="192"/>
      <c r="H39" s="160">
        <f>H38*D40</f>
        <v>0.34300000000000003</v>
      </c>
      <c r="J39" s="197"/>
      <c r="K39" s="197"/>
      <c r="L39" s="128"/>
      <c r="M39" s="177"/>
      <c r="N39" s="177"/>
      <c r="O39" s="177"/>
      <c r="P39" s="177"/>
    </row>
    <row r="40" spans="3:16" x14ac:dyDescent="0.2">
      <c r="C40" s="170" t="s">
        <v>276</v>
      </c>
      <c r="D40" s="171">
        <f>IF(E38="Ja",E40,VLOOKUP(PRegeling,Parameters[],10,0))</f>
        <v>1</v>
      </c>
      <c r="E40" s="180">
        <v>0.7</v>
      </c>
      <c r="F40" s="192" t="s">
        <v>240</v>
      </c>
      <c r="G40" s="192"/>
      <c r="H40" s="160">
        <f>HLOOKUP(D39,Staffels!1:13,MATCH("Opslag",Staffels!A:A,0),0)</f>
        <v>0</v>
      </c>
      <c r="J40" s="197"/>
      <c r="K40" s="197"/>
      <c r="L40" s="128"/>
      <c r="M40" s="177"/>
      <c r="N40" s="177"/>
      <c r="O40" s="177"/>
      <c r="P40" s="177"/>
    </row>
    <row r="41" spans="3:16" x14ac:dyDescent="0.2">
      <c r="C41" s="199" t="str">
        <f>IF(E38="Ja","Pas eventueel staffel aan op tabblad Staffels","Zie tabblad Staffels voor de gebruikte staffel en opslag")</f>
        <v>Zie tabblad Staffels voor de gebruikte staffel en opslag</v>
      </c>
      <c r="D41" s="200"/>
      <c r="E41" s="201"/>
      <c r="F41" s="192" t="s">
        <v>247</v>
      </c>
      <c r="G41" s="192"/>
      <c r="H41" s="160">
        <f>H39*(1+H40)</f>
        <v>0.34300000000000003</v>
      </c>
      <c r="J41" s="197"/>
      <c r="K41" s="197"/>
      <c r="L41" s="128"/>
      <c r="M41" s="177"/>
      <c r="N41" s="177"/>
      <c r="O41" s="177"/>
      <c r="P41" s="128"/>
    </row>
    <row r="42" spans="3:16" x14ac:dyDescent="0.2">
      <c r="J42" s="128"/>
      <c r="K42" s="128"/>
      <c r="L42" s="128"/>
      <c r="M42" s="128"/>
      <c r="N42" s="128"/>
      <c r="O42" s="128"/>
      <c r="P42" s="128"/>
    </row>
    <row r="43" spans="3:16" x14ac:dyDescent="0.2">
      <c r="J43" s="128"/>
      <c r="K43" s="128"/>
      <c r="L43" s="128"/>
      <c r="M43" s="128"/>
      <c r="N43" s="128"/>
      <c r="O43" s="128"/>
      <c r="P43" s="128"/>
    </row>
  </sheetData>
  <sheetProtection algorithmName="SHA-512" hashValue="5F+bWDv272HfUO8ddamC1LHj1MB5nvDOhCxIsbeiv7jaLRHTYgvudMnsag/Z1K0a4dAt3zVrT9h/+L+AGYGRUQ==" saltValue="Y8FNlz/nWkrbptz82GRjTw==" spinCount="100000" sheet="1" objects="1" scenarios="1"/>
  <mergeCells count="17">
    <mergeCell ref="B15:B16"/>
    <mergeCell ref="C35:H35"/>
    <mergeCell ref="N35:O35"/>
    <mergeCell ref="E36:G36"/>
    <mergeCell ref="N36:O36"/>
    <mergeCell ref="F41:G41"/>
    <mergeCell ref="C2:D2"/>
    <mergeCell ref="F2:M2"/>
    <mergeCell ref="F3:H3"/>
    <mergeCell ref="I3:M7"/>
    <mergeCell ref="F4:G4"/>
    <mergeCell ref="C6:D7"/>
    <mergeCell ref="F38:G38"/>
    <mergeCell ref="J38:K41"/>
    <mergeCell ref="F39:G39"/>
    <mergeCell ref="F40:G40"/>
    <mergeCell ref="C41:E41"/>
  </mergeCells>
  <conditionalFormatting sqref="C6:D7">
    <cfRule type="notContainsBlanks" dxfId="50" priority="34">
      <formula>LEN(TRIM(C6))&gt;0</formula>
    </cfRule>
  </conditionalFormatting>
  <conditionalFormatting sqref="C35:H41">
    <cfRule type="expression" dxfId="49" priority="2">
      <formula>$E$7&lt;&gt;"staffel"</formula>
    </cfRule>
  </conditionalFormatting>
  <conditionalFormatting sqref="D39:D40">
    <cfRule type="expression" dxfId="48" priority="4">
      <formula>$E$38="Ja"</formula>
    </cfRule>
  </conditionalFormatting>
  <conditionalFormatting sqref="D15:P15">
    <cfRule type="cellIs" dxfId="47" priority="14" operator="notEqual">
      <formula>$D$4</formula>
    </cfRule>
  </conditionalFormatting>
  <conditionalFormatting sqref="D18:Q19">
    <cfRule type="expression" dxfId="46" priority="1">
      <formula>AND(D14="",D18&lt;&gt;"")</formula>
    </cfRule>
    <cfRule type="expression" dxfId="45" priority="13">
      <formula>AND(D14="",D18="")</formula>
    </cfRule>
  </conditionalFormatting>
  <conditionalFormatting sqref="E39:E40">
    <cfRule type="expression" dxfId="44" priority="5">
      <formula>$E$38="Nee"</formula>
    </cfRule>
  </conditionalFormatting>
  <conditionalFormatting sqref="F4:H4">
    <cfRule type="expression" dxfId="43" priority="9">
      <formula>OR($E$3="Nee",$E$3="N.v.t.")</formula>
    </cfRule>
  </conditionalFormatting>
  <conditionalFormatting sqref="G5:G7">
    <cfRule type="expression" dxfId="42" priority="8">
      <formula>OR(PWGafw="Ja",E5="ovk")</formula>
    </cfRule>
  </conditionalFormatting>
  <conditionalFormatting sqref="G7">
    <cfRule type="expression" dxfId="41" priority="7">
      <formula>$E$7="staffel"</formula>
    </cfRule>
  </conditionalFormatting>
  <conditionalFormatting sqref="H5:H7">
    <cfRule type="expression" dxfId="40" priority="11">
      <formula>OR(PWGafw="Ja",E5="ovk")</formula>
    </cfRule>
  </conditionalFormatting>
  <conditionalFormatting sqref="H7">
    <cfRule type="expression" dxfId="39" priority="10">
      <formula>$E$7="staffel"</formula>
    </cfRule>
  </conditionalFormatting>
  <conditionalFormatting sqref="J38:K41">
    <cfRule type="notContainsBlanks" dxfId="38" priority="36">
      <formula>LEN(TRIM(J38))&gt;0</formula>
    </cfRule>
  </conditionalFormatting>
  <conditionalFormatting sqref="P10:P32">
    <cfRule type="expression" dxfId="37" priority="33">
      <formula>$P$7=12</formula>
    </cfRule>
  </conditionalFormatting>
  <dataValidations count="3">
    <dataValidation type="list" allowBlank="1" showInputMessage="1" showErrorMessage="1" sqref="P3" xr:uid="{00000000-0002-0000-0000-000000000000}">
      <formula1>"Maandelijks,4-wekelijks"</formula1>
    </dataValidation>
    <dataValidation type="list" allowBlank="1" showInputMessage="1" showErrorMessage="1" sqref="H4 E38" xr:uid="{00000000-0002-0000-0000-000001000000}">
      <formula1>"Ja,Nee"</formula1>
    </dataValidation>
    <dataValidation type="list" showInputMessage="1" showErrorMessage="1" sqref="F3:H3" xr:uid="{00000000-0002-0000-0000-000002000000}">
      <formula1>RegPrimo</formula1>
    </dataValidation>
  </dataValidations>
  <pageMargins left="0.7" right="0.7" top="0.75" bottom="0.75" header="0.3" footer="0.3"/>
  <pageSetup paperSize="9" orientation="portrait" verticalDpi="0" r:id="rId1"/>
  <ignoredErrors>
    <ignoredError sqref="P10:P12 P14:P15 P32 P27 P25 P21 P22:P24 P28:P31 H41 H39 H38 H40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6" id="{272AF2AE-F0AE-4990-9D3C-42FD076FCDC9}">
            <xm:f>LEN(TRIM('Ultimo (VCR)'!C29))&gt;0</xm:f>
            <x14:dxf>
              <fill>
                <patternFill>
                  <bgColor theme="9" tint="0.59996337778862885"/>
                </patternFill>
              </fill>
            </x14:dxf>
          </x14:cfRule>
          <xm:sqref>C41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Staffels!$B$1:$AS$1</xm:f>
          </x14:formula1>
          <xm:sqref>E39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AB52-356B-4AFB-B4B5-11F67253D0BD}">
  <dimension ref="A1:B17"/>
  <sheetViews>
    <sheetView workbookViewId="0">
      <selection activeCell="B7" sqref="B7"/>
    </sheetView>
  </sheetViews>
  <sheetFormatPr defaultRowHeight="15" x14ac:dyDescent="0.25"/>
  <cols>
    <col min="1" max="1" width="31.28515625" customWidth="1"/>
    <col min="2" max="2" width="78.7109375" customWidth="1"/>
  </cols>
  <sheetData>
    <row r="1" spans="1:2" x14ac:dyDescent="0.25">
      <c r="A1" s="76" t="s">
        <v>418</v>
      </c>
      <c r="B1" s="76" t="s">
        <v>419</v>
      </c>
    </row>
    <row r="2" spans="1:2" x14ac:dyDescent="0.25">
      <c r="A2" s="77" t="s">
        <v>420</v>
      </c>
      <c r="B2" s="77" t="s">
        <v>421</v>
      </c>
    </row>
    <row r="3" spans="1:2" ht="38.25" x14ac:dyDescent="0.25">
      <c r="A3" s="77"/>
      <c r="B3" s="77" t="s">
        <v>422</v>
      </c>
    </row>
    <row r="4" spans="1:2" x14ac:dyDescent="0.25">
      <c r="A4" s="77" t="s">
        <v>423</v>
      </c>
      <c r="B4" s="78" t="s">
        <v>424</v>
      </c>
    </row>
    <row r="5" spans="1:2" x14ac:dyDescent="0.25">
      <c r="A5" s="79"/>
      <c r="B5" s="80" t="s">
        <v>425</v>
      </c>
    </row>
    <row r="6" spans="1:2" ht="25.5" x14ac:dyDescent="0.25">
      <c r="A6" s="79"/>
      <c r="B6" s="81" t="s">
        <v>426</v>
      </c>
    </row>
    <row r="7" spans="1:2" ht="89.25" x14ac:dyDescent="0.25">
      <c r="A7" s="77" t="s">
        <v>427</v>
      </c>
      <c r="B7" s="77" t="s">
        <v>444</v>
      </c>
    </row>
    <row r="8" spans="1:2" ht="25.5" x14ac:dyDescent="0.25">
      <c r="A8" s="77" t="s">
        <v>428</v>
      </c>
      <c r="B8" s="77" t="s">
        <v>429</v>
      </c>
    </row>
    <row r="9" spans="1:2" ht="25.5" x14ac:dyDescent="0.25">
      <c r="A9" s="77" t="s">
        <v>430</v>
      </c>
      <c r="B9" s="77" t="s">
        <v>431</v>
      </c>
    </row>
    <row r="10" spans="1:2" x14ac:dyDescent="0.25">
      <c r="A10" s="79" t="s">
        <v>432</v>
      </c>
      <c r="B10" s="77" t="s">
        <v>429</v>
      </c>
    </row>
    <row r="11" spans="1:2" x14ac:dyDescent="0.25">
      <c r="A11" s="77" t="s">
        <v>433</v>
      </c>
      <c r="B11" s="77" t="s">
        <v>429</v>
      </c>
    </row>
    <row r="12" spans="1:2" ht="25.5" x14ac:dyDescent="0.25">
      <c r="A12" s="77" t="s">
        <v>434</v>
      </c>
      <c r="B12" s="77" t="s">
        <v>431</v>
      </c>
    </row>
    <row r="13" spans="1:2" x14ac:dyDescent="0.25">
      <c r="A13" s="79" t="s">
        <v>435</v>
      </c>
      <c r="B13" s="77" t="s">
        <v>436</v>
      </c>
    </row>
    <row r="14" spans="1:2" x14ac:dyDescent="0.25">
      <c r="A14" s="77" t="s">
        <v>437</v>
      </c>
      <c r="B14" s="77" t="s">
        <v>438</v>
      </c>
    </row>
    <row r="15" spans="1:2" ht="25.5" x14ac:dyDescent="0.25">
      <c r="A15" s="77" t="s">
        <v>439</v>
      </c>
      <c r="B15" s="77" t="s">
        <v>438</v>
      </c>
    </row>
    <row r="16" spans="1:2" x14ac:dyDescent="0.25">
      <c r="A16" s="77" t="s">
        <v>440</v>
      </c>
      <c r="B16" s="77" t="s">
        <v>441</v>
      </c>
    </row>
    <row r="17" spans="1:2" ht="51" x14ac:dyDescent="0.25">
      <c r="A17" s="77" t="s">
        <v>442</v>
      </c>
      <c r="B17" s="77" t="s">
        <v>443</v>
      </c>
    </row>
  </sheetData>
  <sheetProtection algorithmName="SHA-512" hashValue="StAZiZ8I4s/KPvT5zVrUM6Qeq9ChPAEOPyS21PnVPuvMMUMxv9y942TEDk89AxU9q94WfGox0Kj69mZG/ZAwNA==" saltValue="EW/hpprIoYvLgJQLCzSuh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D75F"/>
  </sheetPr>
  <dimension ref="A1:Y82"/>
  <sheetViews>
    <sheetView zoomScale="98" zoomScaleNormal="98" workbookViewId="0">
      <selection activeCell="H50" sqref="H50"/>
    </sheetView>
  </sheetViews>
  <sheetFormatPr defaultColWidth="9.28515625" defaultRowHeight="12.75" x14ac:dyDescent="0.2"/>
  <cols>
    <col min="1" max="1" width="4.5703125" style="98" customWidth="1"/>
    <col min="2" max="2" width="31.5703125" style="98" customWidth="1"/>
    <col min="3" max="3" width="24.42578125" style="98" customWidth="1"/>
    <col min="4" max="16" width="12.5703125" style="98" customWidth="1"/>
    <col min="17" max="16384" width="9.28515625" style="98"/>
  </cols>
  <sheetData>
    <row r="1" spans="1:17" ht="12.75" customHeight="1" x14ac:dyDescent="0.25">
      <c r="A1" s="96" t="s">
        <v>89</v>
      </c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x14ac:dyDescent="0.2">
      <c r="A2" s="96"/>
      <c r="B2" s="96"/>
      <c r="C2" s="193" t="s">
        <v>111</v>
      </c>
      <c r="D2" s="193"/>
      <c r="E2" s="99"/>
      <c r="F2" s="206" t="s">
        <v>34</v>
      </c>
      <c r="G2" s="206"/>
      <c r="H2" s="206"/>
      <c r="I2" s="206"/>
      <c r="J2" s="206"/>
      <c r="K2" s="206"/>
      <c r="L2" s="206"/>
      <c r="M2" s="206"/>
      <c r="N2" s="128"/>
      <c r="O2" s="154" t="s">
        <v>242</v>
      </c>
      <c r="P2" s="156"/>
    </row>
    <row r="3" spans="1:17" ht="12.75" customHeight="1" x14ac:dyDescent="0.2">
      <c r="A3" s="96"/>
      <c r="B3" s="96"/>
      <c r="C3" s="115" t="s">
        <v>100</v>
      </c>
      <c r="D3" s="11">
        <v>45383</v>
      </c>
      <c r="E3" s="102" t="str">
        <f>VLOOKUP(UPRegeling,Parameters[],12,0)</f>
        <v>Ja</v>
      </c>
      <c r="F3" s="195" t="s">
        <v>315</v>
      </c>
      <c r="G3" s="195"/>
      <c r="H3" s="195"/>
      <c r="I3" s="196" t="str">
        <f>VLOOKUP(F3,Parameters!A:F,6,0)</f>
        <v>Ouderdoms- en Partnerpensioen sector Groothandel in Bloemen en Planten, niet verplichte werknemers (functiegroep 7 en hoger)
DC-regeling op basis van 3%-staffel met ultimo grondslag</v>
      </c>
      <c r="J3" s="196"/>
      <c r="K3" s="196"/>
      <c r="L3" s="196"/>
      <c r="M3" s="196"/>
      <c r="N3" s="128"/>
      <c r="O3" s="115" t="s">
        <v>66</v>
      </c>
      <c r="P3" s="8" t="s">
        <v>328</v>
      </c>
    </row>
    <row r="4" spans="1:17" x14ac:dyDescent="0.2">
      <c r="A4" s="96"/>
      <c r="B4" s="96"/>
      <c r="C4" s="116" t="s">
        <v>101</v>
      </c>
      <c r="D4" s="12">
        <v>45657</v>
      </c>
      <c r="E4" s="102" t="str">
        <f>IF(OR(E3="Nee",E3="n.v.t."),"Nee",H4)</f>
        <v>Nee</v>
      </c>
      <c r="F4" s="192" t="s">
        <v>235</v>
      </c>
      <c r="G4" s="192"/>
      <c r="H4" s="9" t="s">
        <v>236</v>
      </c>
      <c r="I4" s="196"/>
      <c r="J4" s="196"/>
      <c r="K4" s="196"/>
      <c r="L4" s="196"/>
      <c r="M4" s="196"/>
      <c r="N4" s="128"/>
      <c r="O4" s="115" t="s">
        <v>88</v>
      </c>
      <c r="P4" s="8">
        <v>40</v>
      </c>
    </row>
    <row r="5" spans="1:17" x14ac:dyDescent="0.2">
      <c r="A5" s="96"/>
      <c r="B5" s="96"/>
      <c r="C5" s="117"/>
      <c r="D5" s="117"/>
      <c r="E5" s="102">
        <f>VLOOKUP(UPRegeling,Parameters[],11,0)</f>
        <v>18475</v>
      </c>
      <c r="F5" s="115" t="s">
        <v>35</v>
      </c>
      <c r="G5" s="181">
        <f>IF(OR(UPWGafw="Ja",E5="ovk"),H5,E5)</f>
        <v>18475</v>
      </c>
      <c r="H5" s="10">
        <v>15000</v>
      </c>
      <c r="I5" s="196"/>
      <c r="J5" s="196"/>
      <c r="K5" s="196"/>
      <c r="L5" s="196"/>
      <c r="M5" s="196"/>
      <c r="N5" s="128"/>
      <c r="O5" s="133"/>
      <c r="P5" s="137"/>
    </row>
    <row r="6" spans="1:17" x14ac:dyDescent="0.2">
      <c r="A6" s="96"/>
      <c r="B6" s="96"/>
      <c r="C6" s="197" t="str">
        <f>IF(VLOOKUP(PRegeling,Parameters[],8,0)="staffel","Zie onderin deze sheet voor de afleiding van het premie-percentage (o.b.v. staffel)","")</f>
        <v>Zie onderin deze sheet voor de afleiding van het premie-percentage (o.b.v. staffel)</v>
      </c>
      <c r="D6" s="197"/>
      <c r="E6" s="102">
        <f>VLOOKUP(UPRegeling,Parameters[],7,0)</f>
        <v>75864</v>
      </c>
      <c r="F6" s="115" t="s">
        <v>36</v>
      </c>
      <c r="G6" s="119">
        <f>IF(OR(UPWGafw="Ja",E6="ovk"),H6,E6)</f>
        <v>75864</v>
      </c>
      <c r="H6" s="10">
        <v>100000</v>
      </c>
      <c r="I6" s="196"/>
      <c r="J6" s="196"/>
      <c r="K6" s="196"/>
      <c r="L6" s="196"/>
      <c r="M6" s="196"/>
      <c r="N6" s="128"/>
      <c r="O6" s="115" t="s">
        <v>339</v>
      </c>
      <c r="P6" s="155">
        <f>P4*52</f>
        <v>2080</v>
      </c>
    </row>
    <row r="7" spans="1:17" x14ac:dyDescent="0.2">
      <c r="A7" s="96"/>
      <c r="B7" s="96"/>
      <c r="C7" s="197"/>
      <c r="D7" s="197"/>
      <c r="E7" s="102" t="str">
        <f>VLOOKUP(UPRegeling,Parameters[],8,0)</f>
        <v>staffel</v>
      </c>
      <c r="F7" s="115" t="s">
        <v>102</v>
      </c>
      <c r="G7" s="121">
        <f>IF(E7="staffel",H52,IF(OR(UPWGafw="Ja",E7="ovk"),H7,E7))</f>
        <v>0.20826000000000003</v>
      </c>
      <c r="H7" s="179">
        <v>0.23</v>
      </c>
      <c r="I7" s="196"/>
      <c r="J7" s="196"/>
      <c r="K7" s="196"/>
      <c r="L7" s="196"/>
      <c r="M7" s="196"/>
      <c r="N7" s="128"/>
      <c r="O7" s="115" t="s">
        <v>67</v>
      </c>
      <c r="P7" s="115">
        <f>IF(P3="Maandelijks",12,13)</f>
        <v>12</v>
      </c>
    </row>
    <row r="8" spans="1:17" x14ac:dyDescent="0.2">
      <c r="A8" s="96"/>
      <c r="B8" s="96"/>
      <c r="C8" s="96"/>
      <c r="D8" s="96"/>
      <c r="E8" s="147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7" hidden="1" x14ac:dyDescent="0.2">
      <c r="B9" s="104" t="s">
        <v>90</v>
      </c>
      <c r="D9" s="98">
        <v>1</v>
      </c>
      <c r="E9" s="98">
        <v>2</v>
      </c>
      <c r="F9" s="98">
        <v>3</v>
      </c>
      <c r="G9" s="98">
        <v>4</v>
      </c>
      <c r="H9" s="98">
        <v>5</v>
      </c>
      <c r="I9" s="98">
        <v>6</v>
      </c>
      <c r="J9" s="98">
        <v>7</v>
      </c>
      <c r="K9" s="98">
        <v>8</v>
      </c>
      <c r="L9" s="98">
        <v>9</v>
      </c>
      <c r="M9" s="98">
        <v>10</v>
      </c>
      <c r="N9" s="98">
        <v>11</v>
      </c>
      <c r="O9" s="98">
        <v>12</v>
      </c>
      <c r="P9" s="98">
        <v>13</v>
      </c>
    </row>
    <row r="10" spans="1:17" s="104" customFormat="1" x14ac:dyDescent="0.2">
      <c r="B10" s="129" t="s">
        <v>90</v>
      </c>
      <c r="C10" s="129" t="s">
        <v>0</v>
      </c>
      <c r="D10" s="129" t="str">
        <f>VLOOKUP($P$3&amp;D9,Tijdvakken[],2,0)</f>
        <v>Januari</v>
      </c>
      <c r="E10" s="129" t="str">
        <f>VLOOKUP($P$3&amp;E9,Tijdvakken[],2,0)</f>
        <v>Februari</v>
      </c>
      <c r="F10" s="129" t="str">
        <f>VLOOKUP($P$3&amp;F9,Tijdvakken[],2,0)</f>
        <v>Maart</v>
      </c>
      <c r="G10" s="129" t="str">
        <f>VLOOKUP($P$3&amp;G9,Tijdvakken[],2,0)</f>
        <v>April</v>
      </c>
      <c r="H10" s="129" t="str">
        <f>VLOOKUP($P$3&amp;H9,Tijdvakken[],2,0)</f>
        <v>Mei</v>
      </c>
      <c r="I10" s="129" t="str">
        <f>VLOOKUP($P$3&amp;I9,Tijdvakken[],2,0)</f>
        <v>Juni</v>
      </c>
      <c r="J10" s="129" t="str">
        <f>VLOOKUP($P$3&amp;J9,Tijdvakken[],2,0)</f>
        <v>Juli</v>
      </c>
      <c r="K10" s="129" t="str">
        <f>VLOOKUP($P$3&amp;K9,Tijdvakken[],2,0)</f>
        <v>Augustus</v>
      </c>
      <c r="L10" s="129" t="str">
        <f>VLOOKUP($P$3&amp;L9,Tijdvakken[],2,0)</f>
        <v>September</v>
      </c>
      <c r="M10" s="129" t="str">
        <f>VLOOKUP($P$3&amp;M9,Tijdvakken[],2,0)</f>
        <v>Oktober</v>
      </c>
      <c r="N10" s="129" t="str">
        <f>VLOOKUP($P$3&amp;N9,Tijdvakken[],2,0)</f>
        <v>November</v>
      </c>
      <c r="O10" s="129" t="str">
        <f>VLOOKUP($P$3&amp;O9,Tijdvakken[],2,0)</f>
        <v>December</v>
      </c>
      <c r="P10" s="105" t="e">
        <f>VLOOKUP($P$3&amp;P9,Tijdvakken[],2,0)</f>
        <v>#N/A</v>
      </c>
    </row>
    <row r="11" spans="1:17" x14ac:dyDescent="0.2">
      <c r="B11" s="130" t="s">
        <v>97</v>
      </c>
      <c r="C11" s="131" t="s">
        <v>3</v>
      </c>
      <c r="D11" s="132">
        <f t="shared" ref="D11:P11" si="0">VLOOKUP(D10,TabelTijdvak,2,0)</f>
        <v>45658</v>
      </c>
      <c r="E11" s="132">
        <f t="shared" si="0"/>
        <v>45689</v>
      </c>
      <c r="F11" s="132">
        <f t="shared" si="0"/>
        <v>45717</v>
      </c>
      <c r="G11" s="132">
        <f t="shared" si="0"/>
        <v>45748</v>
      </c>
      <c r="H11" s="132">
        <f t="shared" si="0"/>
        <v>45778</v>
      </c>
      <c r="I11" s="132">
        <f t="shared" si="0"/>
        <v>45809</v>
      </c>
      <c r="J11" s="132">
        <f t="shared" si="0"/>
        <v>45839</v>
      </c>
      <c r="K11" s="132">
        <f t="shared" si="0"/>
        <v>45870</v>
      </c>
      <c r="L11" s="132">
        <f t="shared" si="0"/>
        <v>45901</v>
      </c>
      <c r="M11" s="132">
        <f t="shared" si="0"/>
        <v>45931</v>
      </c>
      <c r="N11" s="132">
        <f t="shared" si="0"/>
        <v>45962</v>
      </c>
      <c r="O11" s="132">
        <f t="shared" si="0"/>
        <v>45992</v>
      </c>
      <c r="P11" s="107" t="e">
        <f t="shared" si="0"/>
        <v>#N/A</v>
      </c>
    </row>
    <row r="12" spans="1:17" x14ac:dyDescent="0.2">
      <c r="B12" s="130" t="s">
        <v>98</v>
      </c>
      <c r="C12" s="131" t="s">
        <v>4</v>
      </c>
      <c r="D12" s="132">
        <f t="shared" ref="D12:P12" si="1">VLOOKUP(D10,TabelTijdvak,3,0)</f>
        <v>45688</v>
      </c>
      <c r="E12" s="132">
        <f t="shared" si="1"/>
        <v>45716</v>
      </c>
      <c r="F12" s="132">
        <f t="shared" si="1"/>
        <v>45747</v>
      </c>
      <c r="G12" s="132">
        <f t="shared" si="1"/>
        <v>45777</v>
      </c>
      <c r="H12" s="132">
        <f t="shared" si="1"/>
        <v>45808</v>
      </c>
      <c r="I12" s="132">
        <f t="shared" si="1"/>
        <v>45838</v>
      </c>
      <c r="J12" s="132">
        <f t="shared" si="1"/>
        <v>45869</v>
      </c>
      <c r="K12" s="132">
        <f t="shared" si="1"/>
        <v>45900</v>
      </c>
      <c r="L12" s="132">
        <f t="shared" si="1"/>
        <v>45930</v>
      </c>
      <c r="M12" s="132">
        <f t="shared" si="1"/>
        <v>45961</v>
      </c>
      <c r="N12" s="132">
        <f t="shared" si="1"/>
        <v>45991</v>
      </c>
      <c r="O12" s="132">
        <f t="shared" si="1"/>
        <v>46022</v>
      </c>
      <c r="P12" s="107" t="e">
        <f t="shared" si="1"/>
        <v>#N/A</v>
      </c>
    </row>
    <row r="13" spans="1:17" x14ac:dyDescent="0.2">
      <c r="B13" s="133"/>
      <c r="C13" s="128"/>
      <c r="D13" s="134"/>
      <c r="E13" s="134"/>
      <c r="F13" s="134"/>
      <c r="G13" s="134"/>
      <c r="H13" s="134"/>
      <c r="I13" s="157"/>
      <c r="J13" s="134"/>
      <c r="K13" s="134"/>
      <c r="L13" s="134"/>
      <c r="M13" s="134"/>
      <c r="N13" s="134"/>
      <c r="O13" s="134"/>
      <c r="P13" s="108"/>
    </row>
    <row r="14" spans="1:17" x14ac:dyDescent="0.2">
      <c r="B14" s="130" t="s">
        <v>96</v>
      </c>
      <c r="C14" s="131" t="s">
        <v>30</v>
      </c>
      <c r="D14" s="132" t="str">
        <f t="shared" ref="D14:P14" si="2">IF(OR($D$3&gt;D12,AND($D$4&lt;D11,$D$4&lt;&gt;0)),"",MAX(D11,$D$3))</f>
        <v/>
      </c>
      <c r="E14" s="132" t="str">
        <f t="shared" si="2"/>
        <v/>
      </c>
      <c r="F14" s="132" t="str">
        <f t="shared" si="2"/>
        <v/>
      </c>
      <c r="G14" s="132" t="str">
        <f t="shared" si="2"/>
        <v/>
      </c>
      <c r="H14" s="132" t="str">
        <f t="shared" si="2"/>
        <v/>
      </c>
      <c r="I14" s="132" t="str">
        <f t="shared" si="2"/>
        <v/>
      </c>
      <c r="J14" s="132" t="str">
        <f t="shared" si="2"/>
        <v/>
      </c>
      <c r="K14" s="132" t="str">
        <f t="shared" si="2"/>
        <v/>
      </c>
      <c r="L14" s="132" t="str">
        <f t="shared" si="2"/>
        <v/>
      </c>
      <c r="M14" s="132" t="str">
        <f t="shared" si="2"/>
        <v/>
      </c>
      <c r="N14" s="132" t="str">
        <f t="shared" si="2"/>
        <v/>
      </c>
      <c r="O14" s="132" t="str">
        <f t="shared" si="2"/>
        <v/>
      </c>
      <c r="P14" s="107" t="e">
        <f t="shared" si="2"/>
        <v>#N/A</v>
      </c>
    </row>
    <row r="15" spans="1:17" x14ac:dyDescent="0.2">
      <c r="B15" s="202" t="s">
        <v>99</v>
      </c>
      <c r="C15" s="131" t="s">
        <v>31</v>
      </c>
      <c r="D15" s="132" t="str">
        <f t="shared" ref="D15:P15" si="3">IF(OR($D$3&gt;D12,AND($D$4&lt;D11,$D$4&lt;&gt;0)),"",MIN(D12,$D$4))</f>
        <v/>
      </c>
      <c r="E15" s="132" t="str">
        <f t="shared" si="3"/>
        <v/>
      </c>
      <c r="F15" s="132" t="str">
        <f t="shared" si="3"/>
        <v/>
      </c>
      <c r="G15" s="132" t="str">
        <f t="shared" si="3"/>
        <v/>
      </c>
      <c r="H15" s="132" t="str">
        <f t="shared" si="3"/>
        <v/>
      </c>
      <c r="I15" s="132" t="str">
        <f t="shared" si="3"/>
        <v/>
      </c>
      <c r="J15" s="132" t="str">
        <f t="shared" si="3"/>
        <v/>
      </c>
      <c r="K15" s="132" t="str">
        <f t="shared" si="3"/>
        <v/>
      </c>
      <c r="L15" s="132" t="str">
        <f t="shared" si="3"/>
        <v/>
      </c>
      <c r="M15" s="132" t="str">
        <f t="shared" si="3"/>
        <v/>
      </c>
      <c r="N15" s="132" t="str">
        <f t="shared" si="3"/>
        <v/>
      </c>
      <c r="O15" s="132" t="str">
        <f t="shared" si="3"/>
        <v/>
      </c>
      <c r="P15" s="107" t="e">
        <f t="shared" si="3"/>
        <v>#N/A</v>
      </c>
    </row>
    <row r="16" spans="1:17" x14ac:dyDescent="0.2">
      <c r="B16" s="202"/>
      <c r="C16" s="128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08"/>
    </row>
    <row r="17" spans="2:25" x14ac:dyDescent="0.2">
      <c r="B17" s="15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09"/>
    </row>
    <row r="18" spans="2:25" x14ac:dyDescent="0.2">
      <c r="B18" s="130" t="s">
        <v>95</v>
      </c>
      <c r="C18" s="131" t="s">
        <v>32</v>
      </c>
      <c r="D18" s="110">
        <v>80000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</row>
    <row r="19" spans="2:25" x14ac:dyDescent="0.2">
      <c r="B19" s="130" t="s">
        <v>92</v>
      </c>
      <c r="C19" s="131" t="s">
        <v>91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25" x14ac:dyDescent="0.2">
      <c r="B20" s="133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09"/>
    </row>
    <row r="21" spans="2:25" x14ac:dyDescent="0.2">
      <c r="B21" s="130"/>
      <c r="C21" s="130" t="s">
        <v>37</v>
      </c>
      <c r="D21" s="141">
        <f>SUM($D18:D18)</f>
        <v>80000</v>
      </c>
      <c r="E21" s="141">
        <f>SUM($D18:E18)</f>
        <v>80000</v>
      </c>
      <c r="F21" s="141">
        <f>SUM($D18:F18)</f>
        <v>80000</v>
      </c>
      <c r="G21" s="141">
        <f>SUM($D18:G18)</f>
        <v>80000</v>
      </c>
      <c r="H21" s="141">
        <f>SUM($D18:H18)</f>
        <v>80000</v>
      </c>
      <c r="I21" s="141">
        <f>SUM($D18:I18)</f>
        <v>80000</v>
      </c>
      <c r="J21" s="141">
        <f>SUM($D18:J18)</f>
        <v>80000</v>
      </c>
      <c r="K21" s="141">
        <f>SUM($D18:K18)</f>
        <v>80000</v>
      </c>
      <c r="L21" s="141">
        <f>SUM($D18:L18)</f>
        <v>80000</v>
      </c>
      <c r="M21" s="141">
        <f>SUM($D18:M18)</f>
        <v>80000</v>
      </c>
      <c r="N21" s="141">
        <f>SUM($D18:N18)</f>
        <v>80000</v>
      </c>
      <c r="O21" s="141">
        <f>SUM($D18:O18)</f>
        <v>80000</v>
      </c>
      <c r="P21" s="111">
        <f>SUM($D18:P18)</f>
        <v>80000</v>
      </c>
    </row>
    <row r="22" spans="2:25" x14ac:dyDescent="0.2">
      <c r="B22" s="130"/>
      <c r="C22" s="130" t="s">
        <v>73</v>
      </c>
      <c r="D22" s="159">
        <f>SUM($D$19:D19)</f>
        <v>0</v>
      </c>
      <c r="E22" s="159">
        <f>SUM($D$19:E19)</f>
        <v>0</v>
      </c>
      <c r="F22" s="159">
        <f>SUM($D$19:F19)</f>
        <v>0</v>
      </c>
      <c r="G22" s="159">
        <f>SUM($D$19:G19)</f>
        <v>0</v>
      </c>
      <c r="H22" s="159">
        <f>SUM($D$19:H19)</f>
        <v>0</v>
      </c>
      <c r="I22" s="159">
        <f>SUM($D$19:I19)</f>
        <v>0</v>
      </c>
      <c r="J22" s="159">
        <f>SUM($D$19:J19)</f>
        <v>0</v>
      </c>
      <c r="K22" s="159">
        <f>SUM($D$19:K19)</f>
        <v>0</v>
      </c>
      <c r="L22" s="159">
        <f>SUM($D$19:L19)</f>
        <v>0</v>
      </c>
      <c r="M22" s="159">
        <f>SUM($D$19:M19)</f>
        <v>0</v>
      </c>
      <c r="N22" s="159">
        <f>SUM($D$19:N19)</f>
        <v>0</v>
      </c>
      <c r="O22" s="159">
        <f>SUM($D$19:O19)</f>
        <v>0</v>
      </c>
      <c r="P22" s="148">
        <f>SUM($D$19:P19)</f>
        <v>0</v>
      </c>
    </row>
    <row r="23" spans="2:25" x14ac:dyDescent="0.2">
      <c r="B23" s="133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09"/>
    </row>
    <row r="24" spans="2:25" x14ac:dyDescent="0.2">
      <c r="B24" s="130" t="s">
        <v>105</v>
      </c>
      <c r="C24" s="130" t="s">
        <v>33</v>
      </c>
      <c r="D24" s="130">
        <f t="shared" ref="D24" si="4">ROUND(IF(AND(D11=D14,D12=D15),1,IF(D14="",0,(D15-D14+1)/(D12-D11+1))),4)</f>
        <v>0</v>
      </c>
      <c r="E24" s="130">
        <f t="shared" ref="E24:P24" si="5">ROUND(IF(AND(E11=E14,E12=E15),1,IF(E14="",0,(E15-E14+1)/(E12-E11+1))),4)</f>
        <v>0</v>
      </c>
      <c r="F24" s="130">
        <f t="shared" si="5"/>
        <v>0</v>
      </c>
      <c r="G24" s="130">
        <f t="shared" si="5"/>
        <v>0</v>
      </c>
      <c r="H24" s="130">
        <f t="shared" si="5"/>
        <v>0</v>
      </c>
      <c r="I24" s="130">
        <f t="shared" si="5"/>
        <v>0</v>
      </c>
      <c r="J24" s="130">
        <f t="shared" si="5"/>
        <v>0</v>
      </c>
      <c r="K24" s="130">
        <f t="shared" si="5"/>
        <v>0</v>
      </c>
      <c r="L24" s="130">
        <f t="shared" si="5"/>
        <v>0</v>
      </c>
      <c r="M24" s="130">
        <f t="shared" si="5"/>
        <v>0</v>
      </c>
      <c r="N24" s="130">
        <f t="shared" si="5"/>
        <v>0</v>
      </c>
      <c r="O24" s="130">
        <f t="shared" si="5"/>
        <v>0</v>
      </c>
      <c r="P24" s="106" t="e">
        <f t="shared" si="5"/>
        <v>#N/A</v>
      </c>
    </row>
    <row r="25" spans="2:25" x14ac:dyDescent="0.2">
      <c r="B25" s="130"/>
      <c r="C25" s="130" t="s">
        <v>107</v>
      </c>
      <c r="D25" s="130">
        <f>SUM($D24:D24)</f>
        <v>0</v>
      </c>
      <c r="E25" s="130">
        <f>SUM($D24:E24)</f>
        <v>0</v>
      </c>
      <c r="F25" s="130">
        <f>SUM($D24:F24)</f>
        <v>0</v>
      </c>
      <c r="G25" s="130">
        <f>SUM($D24:G24)</f>
        <v>0</v>
      </c>
      <c r="H25" s="130">
        <f>SUM($D24:H24)</f>
        <v>0</v>
      </c>
      <c r="I25" s="130">
        <f>SUM($D24:I24)</f>
        <v>0</v>
      </c>
      <c r="J25" s="130">
        <f>SUM($D24:J24)</f>
        <v>0</v>
      </c>
      <c r="K25" s="130">
        <f>SUM($D24:K24)</f>
        <v>0</v>
      </c>
      <c r="L25" s="130">
        <f>SUM($D24:L24)</f>
        <v>0</v>
      </c>
      <c r="M25" s="130">
        <f>SUM($D24:M24)</f>
        <v>0</v>
      </c>
      <c r="N25" s="130">
        <f>SUM($D24:N24)</f>
        <v>0</v>
      </c>
      <c r="O25" s="130">
        <f>SUM($D24:O24)</f>
        <v>0</v>
      </c>
      <c r="P25" s="106" t="e">
        <f>SUM($D24:P24)</f>
        <v>#N/A</v>
      </c>
    </row>
    <row r="26" spans="2:25" x14ac:dyDescent="0.2">
      <c r="B26" s="130" t="s">
        <v>104</v>
      </c>
      <c r="C26" s="130" t="s">
        <v>74</v>
      </c>
      <c r="D26" s="130">
        <f t="shared" ref="D26" si="6">ROUND(UPMaxDuur/UPTijdvakkenMax*D24,2)</f>
        <v>0</v>
      </c>
      <c r="E26" s="130">
        <f t="shared" ref="E26:P26" si="7">ROUND(UPMaxDuur/UPTijdvakkenMax*E24,2)</f>
        <v>0</v>
      </c>
      <c r="F26" s="130">
        <f t="shared" si="7"/>
        <v>0</v>
      </c>
      <c r="G26" s="130">
        <f t="shared" si="7"/>
        <v>0</v>
      </c>
      <c r="H26" s="130">
        <f t="shared" si="7"/>
        <v>0</v>
      </c>
      <c r="I26" s="130">
        <f t="shared" si="7"/>
        <v>0</v>
      </c>
      <c r="J26" s="130">
        <f t="shared" si="7"/>
        <v>0</v>
      </c>
      <c r="K26" s="130">
        <f t="shared" si="7"/>
        <v>0</v>
      </c>
      <c r="L26" s="130">
        <f t="shared" si="7"/>
        <v>0</v>
      </c>
      <c r="M26" s="130">
        <f t="shared" si="7"/>
        <v>0</v>
      </c>
      <c r="N26" s="130">
        <f t="shared" si="7"/>
        <v>0</v>
      </c>
      <c r="O26" s="130">
        <f t="shared" si="7"/>
        <v>0</v>
      </c>
      <c r="P26" s="106" t="e">
        <f t="shared" si="7"/>
        <v>#N/A</v>
      </c>
    </row>
    <row r="27" spans="2:25" x14ac:dyDescent="0.2">
      <c r="B27" s="130"/>
      <c r="C27" s="130" t="s">
        <v>72</v>
      </c>
      <c r="D27" s="159">
        <f>SUM($D$26:D26)</f>
        <v>0</v>
      </c>
      <c r="E27" s="159">
        <f>SUM($D$26:E26)</f>
        <v>0</v>
      </c>
      <c r="F27" s="159">
        <f>SUM($D$26:F26)</f>
        <v>0</v>
      </c>
      <c r="G27" s="159">
        <f>SUM($D$26:G26)</f>
        <v>0</v>
      </c>
      <c r="H27" s="159">
        <f>SUM($D$26:H26)</f>
        <v>0</v>
      </c>
      <c r="I27" s="159">
        <f>SUM($D$26:I26)</f>
        <v>0</v>
      </c>
      <c r="J27" s="159">
        <f>SUM($D$26:J26)</f>
        <v>0</v>
      </c>
      <c r="K27" s="159">
        <f>SUM($D$26:K26)</f>
        <v>0</v>
      </c>
      <c r="L27" s="159">
        <f>SUM($D$26:L26)</f>
        <v>0</v>
      </c>
      <c r="M27" s="159">
        <f>SUM($D$26:M26)</f>
        <v>0</v>
      </c>
      <c r="N27" s="159">
        <f>SUM($D$26:N26)</f>
        <v>0</v>
      </c>
      <c r="O27" s="159">
        <f>SUM($D$26:O26)</f>
        <v>0</v>
      </c>
      <c r="P27" s="148" t="e">
        <f>SUM($D$26:P26)</f>
        <v>#N/A</v>
      </c>
    </row>
    <row r="28" spans="2:25" x14ac:dyDescent="0.2">
      <c r="B28" s="133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09"/>
    </row>
    <row r="29" spans="2:25" x14ac:dyDescent="0.2">
      <c r="B29" s="130" t="s">
        <v>103</v>
      </c>
      <c r="C29" s="130" t="s">
        <v>109</v>
      </c>
      <c r="D29" s="160">
        <f t="shared" ref="D29:P29" si="8">IFERROR(MIN(D22/D27,1),0)</f>
        <v>0</v>
      </c>
      <c r="E29" s="160">
        <f t="shared" si="8"/>
        <v>0</v>
      </c>
      <c r="F29" s="160">
        <f t="shared" si="8"/>
        <v>0</v>
      </c>
      <c r="G29" s="160">
        <f t="shared" si="8"/>
        <v>0</v>
      </c>
      <c r="H29" s="160">
        <f t="shared" si="8"/>
        <v>0</v>
      </c>
      <c r="I29" s="160">
        <f t="shared" si="8"/>
        <v>0</v>
      </c>
      <c r="J29" s="160">
        <f t="shared" si="8"/>
        <v>0</v>
      </c>
      <c r="K29" s="160">
        <f t="shared" si="8"/>
        <v>0</v>
      </c>
      <c r="L29" s="160">
        <f t="shared" si="8"/>
        <v>0</v>
      </c>
      <c r="M29" s="160">
        <f t="shared" si="8"/>
        <v>0</v>
      </c>
      <c r="N29" s="160">
        <f t="shared" si="8"/>
        <v>0</v>
      </c>
      <c r="O29" s="160">
        <f t="shared" si="8"/>
        <v>0</v>
      </c>
      <c r="P29" s="149">
        <f t="shared" si="8"/>
        <v>0</v>
      </c>
    </row>
    <row r="30" spans="2:25" x14ac:dyDescent="0.2">
      <c r="B30" s="130"/>
      <c r="C30" s="130" t="s">
        <v>82</v>
      </c>
      <c r="D30" s="141">
        <f t="shared" ref="D30:P30" si="9">IF(D29&gt;0, D21/D29,0)</f>
        <v>0</v>
      </c>
      <c r="E30" s="141">
        <f t="shared" si="9"/>
        <v>0</v>
      </c>
      <c r="F30" s="141">
        <f t="shared" si="9"/>
        <v>0</v>
      </c>
      <c r="G30" s="141">
        <f t="shared" si="9"/>
        <v>0</v>
      </c>
      <c r="H30" s="141">
        <f t="shared" si="9"/>
        <v>0</v>
      </c>
      <c r="I30" s="141">
        <f t="shared" si="9"/>
        <v>0</v>
      </c>
      <c r="J30" s="141">
        <f t="shared" si="9"/>
        <v>0</v>
      </c>
      <c r="K30" s="141">
        <f t="shared" si="9"/>
        <v>0</v>
      </c>
      <c r="L30" s="141">
        <f t="shared" si="9"/>
        <v>0</v>
      </c>
      <c r="M30" s="141">
        <f t="shared" si="9"/>
        <v>0</v>
      </c>
      <c r="N30" s="141">
        <f t="shared" si="9"/>
        <v>0</v>
      </c>
      <c r="O30" s="141">
        <f t="shared" si="9"/>
        <v>0</v>
      </c>
      <c r="P30" s="111">
        <f t="shared" si="9"/>
        <v>0</v>
      </c>
    </row>
    <row r="31" spans="2:25" x14ac:dyDescent="0.2">
      <c r="B31" s="133"/>
      <c r="C31" s="128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12"/>
    </row>
    <row r="32" spans="2:25" x14ac:dyDescent="0.2">
      <c r="B32" s="130"/>
      <c r="C32" s="130" t="s">
        <v>81</v>
      </c>
      <c r="D32" s="161">
        <f t="shared" ref="D32:P32" si="10">UPFranchise/UPTijdvakkenMax*D24</f>
        <v>0</v>
      </c>
      <c r="E32" s="161">
        <f t="shared" si="10"/>
        <v>0</v>
      </c>
      <c r="F32" s="161">
        <f t="shared" si="10"/>
        <v>0</v>
      </c>
      <c r="G32" s="161">
        <f t="shared" si="10"/>
        <v>0</v>
      </c>
      <c r="H32" s="161">
        <f t="shared" si="10"/>
        <v>0</v>
      </c>
      <c r="I32" s="161">
        <f t="shared" si="10"/>
        <v>0</v>
      </c>
      <c r="J32" s="161">
        <f t="shared" si="10"/>
        <v>0</v>
      </c>
      <c r="K32" s="161">
        <f t="shared" si="10"/>
        <v>0</v>
      </c>
      <c r="L32" s="161">
        <f t="shared" si="10"/>
        <v>0</v>
      </c>
      <c r="M32" s="161">
        <f t="shared" si="10"/>
        <v>0</v>
      </c>
      <c r="N32" s="161">
        <f t="shared" si="10"/>
        <v>0</v>
      </c>
      <c r="O32" s="161">
        <f t="shared" si="10"/>
        <v>0</v>
      </c>
      <c r="P32" s="150" t="e">
        <f t="shared" si="10"/>
        <v>#N/A</v>
      </c>
      <c r="Q32" s="96"/>
      <c r="R32" s="96"/>
      <c r="S32" s="96"/>
      <c r="T32" s="96"/>
      <c r="U32" s="96"/>
      <c r="V32" s="96"/>
      <c r="W32" s="96"/>
      <c r="X32" s="96"/>
      <c r="Y32" s="96"/>
    </row>
    <row r="33" spans="2:25" x14ac:dyDescent="0.2">
      <c r="B33" s="130"/>
      <c r="C33" s="130" t="s">
        <v>80</v>
      </c>
      <c r="D33" s="161">
        <f>SUM($D32:D32)</f>
        <v>0</v>
      </c>
      <c r="E33" s="161">
        <f>SUM($D32:E32)</f>
        <v>0</v>
      </c>
      <c r="F33" s="161">
        <f>SUM($D32:F32)</f>
        <v>0</v>
      </c>
      <c r="G33" s="161">
        <f>SUM($D32:G32)</f>
        <v>0</v>
      </c>
      <c r="H33" s="161">
        <f>SUM($D32:H32)</f>
        <v>0</v>
      </c>
      <c r="I33" s="161">
        <f>SUM($D32:I32)</f>
        <v>0</v>
      </c>
      <c r="J33" s="161">
        <f>SUM($D32:J32)</f>
        <v>0</v>
      </c>
      <c r="K33" s="161">
        <f>SUM($D32:K32)</f>
        <v>0</v>
      </c>
      <c r="L33" s="161">
        <f>SUM($D32:L32)</f>
        <v>0</v>
      </c>
      <c r="M33" s="161">
        <f>SUM($D32:M32)</f>
        <v>0</v>
      </c>
      <c r="N33" s="161">
        <f>SUM($D32:N32)</f>
        <v>0</v>
      </c>
      <c r="O33" s="161">
        <f>SUM($D32:O32)</f>
        <v>0</v>
      </c>
      <c r="P33" s="150" t="e">
        <f>SUM($D32:P32)</f>
        <v>#N/A</v>
      </c>
      <c r="Q33" s="96"/>
      <c r="R33" s="96"/>
      <c r="S33" s="96"/>
      <c r="T33" s="96"/>
      <c r="U33" s="96"/>
      <c r="V33" s="96"/>
      <c r="W33" s="96"/>
      <c r="X33" s="96"/>
      <c r="Y33" s="96"/>
    </row>
    <row r="34" spans="2:25" x14ac:dyDescent="0.2">
      <c r="B34" s="133"/>
      <c r="C34" s="128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51"/>
      <c r="Q34" s="96"/>
      <c r="R34" s="96"/>
      <c r="S34" s="96"/>
      <c r="T34" s="96"/>
      <c r="U34" s="96"/>
      <c r="V34" s="96"/>
      <c r="W34" s="96"/>
      <c r="X34" s="96"/>
      <c r="Y34" s="96"/>
    </row>
    <row r="35" spans="2:25" x14ac:dyDescent="0.2">
      <c r="B35" s="130"/>
      <c r="C35" s="130" t="s">
        <v>79</v>
      </c>
      <c r="D35" s="161">
        <f t="shared" ref="D35:P35" si="11">UPMaxLoon/UPTijdvakkenMax*D24</f>
        <v>0</v>
      </c>
      <c r="E35" s="161">
        <f t="shared" si="11"/>
        <v>0</v>
      </c>
      <c r="F35" s="161">
        <f t="shared" si="11"/>
        <v>0</v>
      </c>
      <c r="G35" s="161">
        <f t="shared" si="11"/>
        <v>0</v>
      </c>
      <c r="H35" s="161">
        <f t="shared" si="11"/>
        <v>0</v>
      </c>
      <c r="I35" s="161">
        <f t="shared" si="11"/>
        <v>0</v>
      </c>
      <c r="J35" s="161">
        <f t="shared" si="11"/>
        <v>0</v>
      </c>
      <c r="K35" s="161">
        <f t="shared" si="11"/>
        <v>0</v>
      </c>
      <c r="L35" s="161">
        <f t="shared" si="11"/>
        <v>0</v>
      </c>
      <c r="M35" s="161">
        <f t="shared" si="11"/>
        <v>0</v>
      </c>
      <c r="N35" s="161">
        <f t="shared" si="11"/>
        <v>0</v>
      </c>
      <c r="O35" s="161">
        <f t="shared" si="11"/>
        <v>0</v>
      </c>
      <c r="P35" s="150" t="e">
        <f t="shared" si="11"/>
        <v>#N/A</v>
      </c>
      <c r="Q35" s="96"/>
      <c r="R35" s="96"/>
      <c r="S35" s="96"/>
      <c r="T35" s="96"/>
      <c r="U35" s="96"/>
      <c r="V35" s="96"/>
      <c r="W35" s="96"/>
      <c r="X35" s="96"/>
      <c r="Y35" s="96"/>
    </row>
    <row r="36" spans="2:25" x14ac:dyDescent="0.2">
      <c r="B36" s="130"/>
      <c r="C36" s="130" t="s">
        <v>78</v>
      </c>
      <c r="D36" s="161">
        <f>SUM($D35:D35)</f>
        <v>0</v>
      </c>
      <c r="E36" s="161">
        <f>SUM($D35:E35)</f>
        <v>0</v>
      </c>
      <c r="F36" s="161">
        <f>SUM($D35:F35)</f>
        <v>0</v>
      </c>
      <c r="G36" s="161">
        <f>SUM($D35:G35)</f>
        <v>0</v>
      </c>
      <c r="H36" s="161">
        <f>SUM($D35:H35)</f>
        <v>0</v>
      </c>
      <c r="I36" s="161">
        <f>SUM($D35:I35)</f>
        <v>0</v>
      </c>
      <c r="J36" s="161">
        <f>SUM($D35:J35)</f>
        <v>0</v>
      </c>
      <c r="K36" s="161">
        <f>SUM($D35:K35)</f>
        <v>0</v>
      </c>
      <c r="L36" s="161">
        <f>SUM($D35:L35)</f>
        <v>0</v>
      </c>
      <c r="M36" s="161">
        <f>SUM($D35:M35)</f>
        <v>0</v>
      </c>
      <c r="N36" s="161">
        <f>SUM($D35:N35)</f>
        <v>0</v>
      </c>
      <c r="O36" s="161">
        <f>SUM($D35:O35)</f>
        <v>0</v>
      </c>
      <c r="P36" s="150" t="e">
        <f>SUM($D35:P35)</f>
        <v>#N/A</v>
      </c>
      <c r="Q36" s="96"/>
      <c r="R36" s="96"/>
      <c r="S36" s="96"/>
      <c r="T36" s="96"/>
      <c r="U36" s="96"/>
      <c r="V36" s="96"/>
      <c r="W36" s="96"/>
      <c r="X36" s="96"/>
      <c r="Y36" s="96"/>
    </row>
    <row r="37" spans="2:25" x14ac:dyDescent="0.2">
      <c r="B37" s="133"/>
      <c r="C37" s="128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52"/>
      <c r="Q37" s="96"/>
      <c r="R37" s="96"/>
      <c r="S37" s="96"/>
      <c r="T37" s="96"/>
      <c r="U37" s="96"/>
      <c r="V37" s="96"/>
      <c r="W37" s="96"/>
      <c r="X37" s="96"/>
      <c r="Y37" s="96"/>
    </row>
    <row r="38" spans="2:25" x14ac:dyDescent="0.2">
      <c r="B38" s="130"/>
      <c r="C38" s="130" t="s">
        <v>75</v>
      </c>
      <c r="D38" s="161">
        <f>MAX(MIN(D30,D36)-D33,0)</f>
        <v>0</v>
      </c>
      <c r="E38" s="161">
        <f t="shared" ref="E38:P38" si="12">MAX(MIN(E30,E36)-E33,0)</f>
        <v>0</v>
      </c>
      <c r="F38" s="161">
        <f t="shared" si="12"/>
        <v>0</v>
      </c>
      <c r="G38" s="161">
        <f t="shared" si="12"/>
        <v>0</v>
      </c>
      <c r="H38" s="161">
        <f t="shared" si="12"/>
        <v>0</v>
      </c>
      <c r="I38" s="161">
        <f t="shared" si="12"/>
        <v>0</v>
      </c>
      <c r="J38" s="161">
        <f t="shared" si="12"/>
        <v>0</v>
      </c>
      <c r="K38" s="161">
        <f t="shared" si="12"/>
        <v>0</v>
      </c>
      <c r="L38" s="161">
        <f t="shared" si="12"/>
        <v>0</v>
      </c>
      <c r="M38" s="161">
        <f t="shared" si="12"/>
        <v>0</v>
      </c>
      <c r="N38" s="161">
        <f t="shared" si="12"/>
        <v>0</v>
      </c>
      <c r="O38" s="161">
        <f t="shared" si="12"/>
        <v>0</v>
      </c>
      <c r="P38" s="150" t="e">
        <f t="shared" si="12"/>
        <v>#N/A</v>
      </c>
      <c r="Q38" s="96"/>
      <c r="R38" s="96"/>
      <c r="S38" s="96"/>
      <c r="T38" s="96"/>
      <c r="U38" s="96"/>
      <c r="V38" s="96"/>
      <c r="W38" s="96"/>
      <c r="X38" s="96"/>
      <c r="Y38" s="96"/>
    </row>
    <row r="39" spans="2:25" x14ac:dyDescent="0.2">
      <c r="B39" s="130"/>
      <c r="C39" s="130" t="s">
        <v>76</v>
      </c>
      <c r="D39" s="161">
        <f>D38*D29</f>
        <v>0</v>
      </c>
      <c r="E39" s="161">
        <f t="shared" ref="E39:P39" si="13">E38*E29</f>
        <v>0</v>
      </c>
      <c r="F39" s="161">
        <f t="shared" si="13"/>
        <v>0</v>
      </c>
      <c r="G39" s="161">
        <f t="shared" si="13"/>
        <v>0</v>
      </c>
      <c r="H39" s="161">
        <f t="shared" si="13"/>
        <v>0</v>
      </c>
      <c r="I39" s="161">
        <f t="shared" si="13"/>
        <v>0</v>
      </c>
      <c r="J39" s="161">
        <f t="shared" si="13"/>
        <v>0</v>
      </c>
      <c r="K39" s="161">
        <f t="shared" si="13"/>
        <v>0</v>
      </c>
      <c r="L39" s="161">
        <f t="shared" si="13"/>
        <v>0</v>
      </c>
      <c r="M39" s="161">
        <f t="shared" si="13"/>
        <v>0</v>
      </c>
      <c r="N39" s="161">
        <f t="shared" si="13"/>
        <v>0</v>
      </c>
      <c r="O39" s="161">
        <f t="shared" si="13"/>
        <v>0</v>
      </c>
      <c r="P39" s="150" t="e">
        <f t="shared" si="13"/>
        <v>#N/A</v>
      </c>
      <c r="Q39" s="96"/>
      <c r="R39" s="96"/>
      <c r="S39" s="96"/>
      <c r="T39" s="96"/>
      <c r="U39" s="96"/>
      <c r="V39" s="96"/>
      <c r="W39" s="96"/>
      <c r="X39" s="96"/>
      <c r="Y39" s="96"/>
    </row>
    <row r="40" spans="2:25" x14ac:dyDescent="0.2">
      <c r="B40" s="133"/>
      <c r="C40" s="128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51"/>
      <c r="Q40" s="96"/>
      <c r="R40" s="96"/>
      <c r="S40" s="96"/>
      <c r="T40" s="96"/>
      <c r="U40" s="96"/>
      <c r="V40" s="96"/>
      <c r="W40" s="96"/>
      <c r="X40" s="96"/>
      <c r="Y40" s="96"/>
    </row>
    <row r="41" spans="2:25" x14ac:dyDescent="0.2">
      <c r="B41" s="130" t="s">
        <v>93</v>
      </c>
      <c r="C41" s="131" t="s">
        <v>39</v>
      </c>
      <c r="D41" s="141">
        <f>D39</f>
        <v>0</v>
      </c>
      <c r="E41" s="141">
        <f>E39-D39</f>
        <v>0</v>
      </c>
      <c r="F41" s="141">
        <f t="shared" ref="F41:P41" si="14">F39-E39</f>
        <v>0</v>
      </c>
      <c r="G41" s="141">
        <f t="shared" si="14"/>
        <v>0</v>
      </c>
      <c r="H41" s="141">
        <f t="shared" si="14"/>
        <v>0</v>
      </c>
      <c r="I41" s="141">
        <f t="shared" si="14"/>
        <v>0</v>
      </c>
      <c r="J41" s="141">
        <f t="shared" si="14"/>
        <v>0</v>
      </c>
      <c r="K41" s="141">
        <f t="shared" si="14"/>
        <v>0</v>
      </c>
      <c r="L41" s="141">
        <f t="shared" si="14"/>
        <v>0</v>
      </c>
      <c r="M41" s="141">
        <f t="shared" si="14"/>
        <v>0</v>
      </c>
      <c r="N41" s="141">
        <f t="shared" si="14"/>
        <v>0</v>
      </c>
      <c r="O41" s="141">
        <f t="shared" si="14"/>
        <v>0</v>
      </c>
      <c r="P41" s="111" t="e">
        <f t="shared" si="14"/>
        <v>#N/A</v>
      </c>
    </row>
    <row r="42" spans="2:25" x14ac:dyDescent="0.2">
      <c r="B42" s="130" t="s">
        <v>94</v>
      </c>
      <c r="C42" s="131" t="s">
        <v>38</v>
      </c>
      <c r="D42" s="141">
        <f t="shared" ref="D42:P42" si="15">ROUND(D41*UPPremiePercentage,2)</f>
        <v>0</v>
      </c>
      <c r="E42" s="141">
        <f t="shared" si="15"/>
        <v>0</v>
      </c>
      <c r="F42" s="141">
        <f t="shared" si="15"/>
        <v>0</v>
      </c>
      <c r="G42" s="141">
        <f t="shared" si="15"/>
        <v>0</v>
      </c>
      <c r="H42" s="141">
        <f t="shared" si="15"/>
        <v>0</v>
      </c>
      <c r="I42" s="141">
        <f t="shared" si="15"/>
        <v>0</v>
      </c>
      <c r="J42" s="141">
        <f t="shared" si="15"/>
        <v>0</v>
      </c>
      <c r="K42" s="141">
        <f t="shared" si="15"/>
        <v>0</v>
      </c>
      <c r="L42" s="141">
        <f t="shared" si="15"/>
        <v>0</v>
      </c>
      <c r="M42" s="141">
        <f t="shared" si="15"/>
        <v>0</v>
      </c>
      <c r="N42" s="141">
        <f t="shared" si="15"/>
        <v>0</v>
      </c>
      <c r="O42" s="141">
        <f t="shared" si="15"/>
        <v>0</v>
      </c>
      <c r="P42" s="111" t="e">
        <f t="shared" si="15"/>
        <v>#N/A</v>
      </c>
    </row>
    <row r="43" spans="2:25" x14ac:dyDescent="0.2">
      <c r="B43" s="130"/>
      <c r="C43" s="130" t="s">
        <v>40</v>
      </c>
      <c r="D43" s="141">
        <f>SUM($D42:D42)</f>
        <v>0</v>
      </c>
      <c r="E43" s="141">
        <f>SUM($D42:E42)</f>
        <v>0</v>
      </c>
      <c r="F43" s="141">
        <f>SUM($D42:F42)</f>
        <v>0</v>
      </c>
      <c r="G43" s="141">
        <f>SUM($D42:G42)</f>
        <v>0</v>
      </c>
      <c r="H43" s="141">
        <f>SUM($D42:H42)</f>
        <v>0</v>
      </c>
      <c r="I43" s="141">
        <f>SUM($D42:I42)</f>
        <v>0</v>
      </c>
      <c r="J43" s="141">
        <f>SUM($D42:J42)</f>
        <v>0</v>
      </c>
      <c r="K43" s="141">
        <f>SUM($D42:K42)</f>
        <v>0</v>
      </c>
      <c r="L43" s="141">
        <f>SUM($D42:L42)</f>
        <v>0</v>
      </c>
      <c r="M43" s="141">
        <f>SUM($D42:M42)</f>
        <v>0</v>
      </c>
      <c r="N43" s="141">
        <f>SUM($D42:N42)</f>
        <v>0</v>
      </c>
      <c r="O43" s="141">
        <f>SUM($D42:O42)</f>
        <v>0</v>
      </c>
      <c r="P43" s="111" t="e">
        <f>SUM($D42:P42)</f>
        <v>#N/A</v>
      </c>
    </row>
    <row r="44" spans="2:25" x14ac:dyDescent="0.2"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</row>
    <row r="45" spans="2:25" x14ac:dyDescent="0.2"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</row>
    <row r="46" spans="2:25" x14ac:dyDescent="0.2">
      <c r="B46" s="128"/>
      <c r="C46" s="207" t="s">
        <v>243</v>
      </c>
      <c r="D46" s="207"/>
      <c r="E46" s="207"/>
      <c r="F46" s="207"/>
      <c r="G46" s="207"/>
      <c r="H46" s="207"/>
      <c r="I46" s="128"/>
      <c r="J46" s="128"/>
      <c r="K46" s="128"/>
      <c r="L46" s="128"/>
      <c r="M46" s="172"/>
      <c r="N46" s="203" t="s">
        <v>83</v>
      </c>
      <c r="O46" s="203"/>
    </row>
    <row r="47" spans="2:25" x14ac:dyDescent="0.2">
      <c r="B47" s="128"/>
      <c r="C47" s="164" t="s">
        <v>234</v>
      </c>
      <c r="D47" s="12">
        <v>22825</v>
      </c>
      <c r="E47" s="204" t="s">
        <v>268</v>
      </c>
      <c r="F47" s="204"/>
      <c r="G47" s="204"/>
      <c r="H47" s="167">
        <f>IF(D47="","",IF(DATE(YEAR(H48),MONTH(D47),DAY(D47))&lt;=H48,YEAR(H48)-YEAR(D47),YEAR(H48)-YEAR(D47)-1))</f>
        <v>62</v>
      </c>
      <c r="I47" s="128"/>
      <c r="J47" s="128"/>
      <c r="K47" s="128"/>
      <c r="L47" s="128"/>
      <c r="M47" s="173"/>
      <c r="N47" s="205" t="s">
        <v>84</v>
      </c>
      <c r="O47" s="205"/>
    </row>
    <row r="48" spans="2:25" x14ac:dyDescent="0.2">
      <c r="B48" s="128"/>
      <c r="C48" s="138"/>
      <c r="D48" s="139"/>
      <c r="E48" s="139"/>
      <c r="F48" s="165"/>
      <c r="G48" s="165"/>
      <c r="H48" s="166">
        <f>MAX(D11,D3)</f>
        <v>45658</v>
      </c>
      <c r="I48" s="128"/>
      <c r="J48" s="128"/>
      <c r="K48" s="128"/>
      <c r="L48" s="128"/>
      <c r="M48" s="128"/>
      <c r="N48" s="128"/>
      <c r="O48" s="128"/>
    </row>
    <row r="49" spans="2:15" x14ac:dyDescent="0.2">
      <c r="B49" s="128"/>
      <c r="C49" s="169" t="s">
        <v>275</v>
      </c>
      <c r="D49" s="128"/>
      <c r="E49" s="18" t="s">
        <v>236</v>
      </c>
      <c r="F49" s="198" t="s">
        <v>245</v>
      </c>
      <c r="G49" s="198"/>
      <c r="H49" s="168">
        <f>HLOOKUP(D50,Staffels!1:13,MATCH(H47,Staffels!A:A,1),0)</f>
        <v>0.26700000000000002</v>
      </c>
      <c r="I49" s="128"/>
      <c r="J49" s="197" t="str">
        <f>IF(LEFT(D50,4)="RELX","NB: Deze sheet is niet geschikt voor individuele aanvullende benutting bij Relx (benutting groter dan 73%)","")</f>
        <v/>
      </c>
      <c r="K49" s="197"/>
      <c r="L49" s="128"/>
      <c r="M49" s="128"/>
      <c r="N49" s="128"/>
      <c r="O49" s="128"/>
    </row>
    <row r="50" spans="2:15" x14ac:dyDescent="0.2">
      <c r="B50" s="128"/>
      <c r="C50" s="130" t="s">
        <v>258</v>
      </c>
      <c r="D50" s="130" t="str">
        <f>IF(E49="Ja",E50,VLOOKUP(UPRegeling,Parameters[],9,0))</f>
        <v>2025-30</v>
      </c>
      <c r="E50" s="18" t="s">
        <v>256</v>
      </c>
      <c r="F50" s="192" t="s">
        <v>246</v>
      </c>
      <c r="G50" s="192"/>
      <c r="H50" s="160">
        <f>H49*D51</f>
        <v>0.20826000000000003</v>
      </c>
      <c r="I50" s="128"/>
      <c r="J50" s="197"/>
      <c r="K50" s="197"/>
      <c r="L50" s="128"/>
      <c r="M50" s="128"/>
      <c r="N50" s="128"/>
      <c r="O50" s="128"/>
    </row>
    <row r="51" spans="2:15" x14ac:dyDescent="0.2">
      <c r="B51" s="128"/>
      <c r="C51" s="170" t="s">
        <v>276</v>
      </c>
      <c r="D51" s="191">
        <f>IF(E49="Ja",E51,VLOOKUP(F3,Parameters[],10,0))</f>
        <v>0.78</v>
      </c>
      <c r="E51" s="180">
        <v>0.75</v>
      </c>
      <c r="F51" s="192" t="s">
        <v>240</v>
      </c>
      <c r="G51" s="192"/>
      <c r="H51" s="160">
        <f>HLOOKUP(D50,Staffels!1:13,MATCH("Opslag",Staffels!A:A,0),0)</f>
        <v>0</v>
      </c>
      <c r="I51" s="128"/>
      <c r="J51" s="197"/>
      <c r="K51" s="197"/>
      <c r="L51" s="128"/>
      <c r="M51" s="128"/>
      <c r="N51" s="128"/>
      <c r="O51" s="128"/>
    </row>
    <row r="52" spans="2:15" x14ac:dyDescent="0.2">
      <c r="B52" s="128"/>
      <c r="C52" s="199" t="str">
        <f>IF(E49="Ja","Pas eventueel staffel aan op tabblad Staffels","Zie tabblad Staffels voor de gebruikte staffel en opslag")</f>
        <v>Zie tabblad Staffels voor de gebruikte staffel en opslag</v>
      </c>
      <c r="D52" s="200"/>
      <c r="E52" s="201"/>
      <c r="F52" s="192" t="s">
        <v>247</v>
      </c>
      <c r="G52" s="192"/>
      <c r="H52" s="160">
        <f>H50*(1+H51)</f>
        <v>0.20826000000000003</v>
      </c>
      <c r="I52" s="128"/>
      <c r="J52" s="197"/>
      <c r="K52" s="197"/>
      <c r="L52" s="128"/>
      <c r="M52" s="128"/>
      <c r="N52" s="128"/>
      <c r="O52" s="128"/>
    </row>
    <row r="53" spans="2:15" x14ac:dyDescent="0.2">
      <c r="B53" s="128"/>
    </row>
    <row r="77" spans="4:16" x14ac:dyDescent="0.2">
      <c r="D77" s="113" t="e">
        <f>D42-#REF!</f>
        <v>#REF!</v>
      </c>
      <c r="E77" s="113" t="e">
        <f>E42-#REF!</f>
        <v>#REF!</v>
      </c>
      <c r="F77" s="113" t="e">
        <f>F42-#REF!</f>
        <v>#REF!</v>
      </c>
      <c r="G77" s="113" t="e">
        <f>G42-#REF!</f>
        <v>#REF!</v>
      </c>
      <c r="H77" s="113" t="e">
        <f>H42-#REF!</f>
        <v>#REF!</v>
      </c>
      <c r="I77" s="113" t="e">
        <f>I42-#REF!</f>
        <v>#REF!</v>
      </c>
      <c r="J77" s="113" t="e">
        <f>J42-#REF!</f>
        <v>#REF!</v>
      </c>
      <c r="K77" s="113" t="e">
        <f>K42-#REF!</f>
        <v>#REF!</v>
      </c>
      <c r="L77" s="113" t="e">
        <f>L42-#REF!</f>
        <v>#REF!</v>
      </c>
      <c r="M77" s="113" t="e">
        <f>M42-#REF!</f>
        <v>#REF!</v>
      </c>
      <c r="N77" s="113" t="e">
        <f>N42-#REF!</f>
        <v>#REF!</v>
      </c>
      <c r="O77" s="113" t="e">
        <f>O42-#REF!</f>
        <v>#REF!</v>
      </c>
      <c r="P77" s="113" t="e">
        <f>P42-#REF!</f>
        <v>#N/A</v>
      </c>
    </row>
    <row r="81" spans="4:4" x14ac:dyDescent="0.2">
      <c r="D81" s="153"/>
    </row>
    <row r="82" spans="4:4" x14ac:dyDescent="0.2">
      <c r="D82" s="153"/>
    </row>
  </sheetData>
  <mergeCells count="17">
    <mergeCell ref="N46:O46"/>
    <mergeCell ref="N47:O47"/>
    <mergeCell ref="F52:G52"/>
    <mergeCell ref="F49:G49"/>
    <mergeCell ref="F50:G50"/>
    <mergeCell ref="F51:G51"/>
    <mergeCell ref="E47:G47"/>
    <mergeCell ref="C46:H46"/>
    <mergeCell ref="C52:E52"/>
    <mergeCell ref="J49:K52"/>
    <mergeCell ref="I3:M7"/>
    <mergeCell ref="F2:M2"/>
    <mergeCell ref="F4:G4"/>
    <mergeCell ref="F3:H3"/>
    <mergeCell ref="B15:B16"/>
    <mergeCell ref="C2:D2"/>
    <mergeCell ref="C6:D7"/>
  </mergeCells>
  <conditionalFormatting sqref="C52">
    <cfRule type="notContainsBlanks" dxfId="36" priority="16">
      <formula>LEN(TRIM(C52))&gt;0</formula>
    </cfRule>
  </conditionalFormatting>
  <conditionalFormatting sqref="C6:D7">
    <cfRule type="notContainsBlanks" dxfId="35" priority="53">
      <formula>LEN(TRIM(C6))&gt;0</formula>
    </cfRule>
  </conditionalFormatting>
  <conditionalFormatting sqref="C46:K52">
    <cfRule type="expression" dxfId="34" priority="3">
      <formula>$E$7&lt;&gt;"staffel"</formula>
    </cfRule>
  </conditionalFormatting>
  <conditionalFormatting sqref="D50:D51">
    <cfRule type="expression" dxfId="33" priority="7">
      <formula>$E$49="Ja"</formula>
    </cfRule>
  </conditionalFormatting>
  <conditionalFormatting sqref="D15:P15">
    <cfRule type="cellIs" dxfId="32" priority="20" operator="notEqual">
      <formula>$D$4</formula>
    </cfRule>
  </conditionalFormatting>
  <conditionalFormatting sqref="D18:Q19">
    <cfRule type="expression" dxfId="31" priority="1">
      <formula>AND(D14="",D18&lt;&gt;"")</formula>
    </cfRule>
    <cfRule type="expression" dxfId="30" priority="19">
      <formula>AND(D14="",D18="")</formula>
    </cfRule>
  </conditionalFormatting>
  <conditionalFormatting sqref="E50:E51">
    <cfRule type="expression" dxfId="29" priority="8">
      <formula>$E$49="Nee"</formula>
    </cfRule>
  </conditionalFormatting>
  <conditionalFormatting sqref="F4:H4">
    <cfRule type="expression" dxfId="28" priority="9">
      <formula>OR($E$3="Nee",$E$3="N.v.t.")</formula>
    </cfRule>
  </conditionalFormatting>
  <conditionalFormatting sqref="G5:G7">
    <cfRule type="expression" dxfId="27" priority="5">
      <formula>OR(UPWGafw="Ja",E5="ovk")</formula>
    </cfRule>
  </conditionalFormatting>
  <conditionalFormatting sqref="G7">
    <cfRule type="expression" dxfId="26" priority="4">
      <formula>$E$7="staffel"</formula>
    </cfRule>
  </conditionalFormatting>
  <conditionalFormatting sqref="H5:H7">
    <cfRule type="expression" dxfId="25" priority="14">
      <formula>OR(UPWGafw="Ja",E5="ovk")</formula>
    </cfRule>
  </conditionalFormatting>
  <conditionalFormatting sqref="H7">
    <cfRule type="expression" dxfId="24" priority="11">
      <formula>$E$7="staffel"</formula>
    </cfRule>
  </conditionalFormatting>
  <conditionalFormatting sqref="J49:K52">
    <cfRule type="notContainsBlanks" dxfId="23" priority="6">
      <formula>LEN(TRIM(J49))&gt;0</formula>
    </cfRule>
  </conditionalFormatting>
  <conditionalFormatting sqref="P10:P43">
    <cfRule type="expression" dxfId="22" priority="52">
      <formula>$P$7=12</formula>
    </cfRule>
  </conditionalFormatting>
  <dataValidations count="3">
    <dataValidation type="list" allowBlank="1" showInputMessage="1" showErrorMessage="1" sqref="P3" xr:uid="{00000000-0002-0000-0100-000000000000}">
      <formula1>"Maandelijks,4-wekelijks"</formula1>
    </dataValidation>
    <dataValidation type="list" allowBlank="1" showInputMessage="1" showErrorMessage="1" sqref="H4 E49" xr:uid="{00000000-0002-0000-0100-000001000000}">
      <formula1>"Ja,Nee"</formula1>
    </dataValidation>
    <dataValidation type="list" allowBlank="1" showInputMessage="1" showErrorMessage="1" sqref="F3:H3" xr:uid="{00000000-0002-0000-0100-000002000000}">
      <formula1>RegUltimoVCR</formula1>
    </dataValidation>
  </dataValidations>
  <pageMargins left="0.7" right="0.7" top="0.75" bottom="0.75" header="0.3" footer="0.3"/>
  <pageSetup paperSize="9" orientation="portrait" verticalDpi="0" r:id="rId1"/>
  <ignoredErrors>
    <ignoredError sqref="H49:H52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Staffels!$B$1:$AS$1</xm:f>
          </x14:formula1>
          <xm:sqref>E50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D75F"/>
  </sheetPr>
  <dimension ref="A1:AD65"/>
  <sheetViews>
    <sheetView topLeftCell="C1" zoomScale="157" zoomScaleNormal="157" workbookViewId="0">
      <selection activeCell="F3" sqref="F3:H3"/>
    </sheetView>
  </sheetViews>
  <sheetFormatPr defaultColWidth="9.28515625" defaultRowHeight="12.75" x14ac:dyDescent="0.2"/>
  <cols>
    <col min="1" max="1" width="4.5703125" style="98" customWidth="1"/>
    <col min="2" max="2" width="31.5703125" style="98" customWidth="1"/>
    <col min="3" max="3" width="24.42578125" style="98" customWidth="1"/>
    <col min="4" max="17" width="12.5703125" style="98" customWidth="1"/>
    <col min="18" max="16384" width="9.28515625" style="98"/>
  </cols>
  <sheetData>
    <row r="1" spans="1:17" ht="12.75" customHeight="1" x14ac:dyDescent="0.25">
      <c r="A1" s="96" t="s">
        <v>89</v>
      </c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x14ac:dyDescent="0.2">
      <c r="A2" s="96"/>
      <c r="B2" s="96"/>
      <c r="C2" s="193" t="s">
        <v>111</v>
      </c>
      <c r="D2" s="193"/>
      <c r="E2" s="145"/>
      <c r="F2" s="206" t="s">
        <v>34</v>
      </c>
      <c r="G2" s="206"/>
      <c r="H2" s="206"/>
      <c r="I2" s="206"/>
      <c r="J2" s="206"/>
      <c r="K2" s="206"/>
      <c r="L2" s="206"/>
      <c r="M2" s="206"/>
      <c r="N2" s="128"/>
      <c r="O2" s="100" t="s">
        <v>242</v>
      </c>
      <c r="P2" s="101"/>
    </row>
    <row r="3" spans="1:17" ht="12.75" customHeight="1" x14ac:dyDescent="0.2">
      <c r="A3" s="96"/>
      <c r="B3" s="96"/>
      <c r="C3" s="115" t="s">
        <v>100</v>
      </c>
      <c r="D3" s="11">
        <v>45292</v>
      </c>
      <c r="E3" s="146" t="str">
        <f>VLOOKUP(ZRegeling,Parameters[],12,0)</f>
        <v>Nee</v>
      </c>
      <c r="F3" s="195" t="s">
        <v>327</v>
      </c>
      <c r="G3" s="195"/>
      <c r="H3" s="195"/>
      <c r="I3" s="196" t="str">
        <f>VLOOKUP(F3,Parameters!A:F,6,0)</f>
        <v>Ouderdoms- en Partnerpensioen sector Zeevisserij: Vissers
DC-regeling op basis van doorsneepremie met ultimo grondslag</v>
      </c>
      <c r="J3" s="196"/>
      <c r="K3" s="196"/>
      <c r="L3" s="196"/>
      <c r="M3" s="196"/>
      <c r="N3" s="128"/>
      <c r="O3" s="116" t="s">
        <v>66</v>
      </c>
      <c r="P3" s="44" t="s">
        <v>328</v>
      </c>
    </row>
    <row r="4" spans="1:17" x14ac:dyDescent="0.2">
      <c r="A4" s="96"/>
      <c r="B4" s="96"/>
      <c r="C4" s="116" t="s">
        <v>101</v>
      </c>
      <c r="D4" s="12">
        <v>45657</v>
      </c>
      <c r="E4" s="146" t="str">
        <f>IF(OR(E3="Nee",E3="n.v.t."),"Nee",H4)</f>
        <v>Nee</v>
      </c>
      <c r="F4" s="192" t="s">
        <v>235</v>
      </c>
      <c r="G4" s="192"/>
      <c r="H4" s="118" t="s">
        <v>236</v>
      </c>
      <c r="I4" s="196"/>
      <c r="J4" s="196"/>
      <c r="K4" s="196"/>
      <c r="L4" s="196"/>
      <c r="M4" s="196"/>
      <c r="N4" s="128"/>
      <c r="O4" s="124"/>
      <c r="P4" s="125"/>
    </row>
    <row r="5" spans="1:17" x14ac:dyDescent="0.2">
      <c r="A5" s="96"/>
      <c r="B5" s="96"/>
      <c r="C5" s="117"/>
      <c r="D5" s="103"/>
      <c r="E5" s="146">
        <f>VLOOKUP(ZRegeling,Parameters[],11,0)</f>
        <v>18590</v>
      </c>
      <c r="F5" s="115" t="s">
        <v>35</v>
      </c>
      <c r="G5" s="119">
        <f>IF(OR(ZWGafw="Ja",E5="ovk"),H5,E5)</f>
        <v>18590</v>
      </c>
      <c r="H5" s="120">
        <v>15000</v>
      </c>
      <c r="I5" s="196"/>
      <c r="J5" s="196"/>
      <c r="K5" s="196"/>
      <c r="L5" s="196"/>
      <c r="M5" s="196"/>
      <c r="N5" s="128"/>
      <c r="O5" s="123"/>
      <c r="P5" s="126" t="str">
        <f>IF(VLOOKUP(ZRegeling,Parameters[],5,0)="ZEEV1","dagen","uren")</f>
        <v>dagen</v>
      </c>
    </row>
    <row r="6" spans="1:17" x14ac:dyDescent="0.2">
      <c r="A6" s="96"/>
      <c r="B6" s="96"/>
      <c r="C6" s="197" t="str">
        <f>IF(P5="dagen","NB: franchise en max loon worden berekend op basis van aantal gewerkte dagen","NB: franchise en max loon worden berekend op basis van aantal verloonde uren")</f>
        <v>NB: franchise en max loon worden berekend op basis van aantal gewerkte dagen</v>
      </c>
      <c r="D6" s="197"/>
      <c r="E6" s="146">
        <f>VLOOKUP(ZRegeling,Parameters[],7,0)</f>
        <v>75920</v>
      </c>
      <c r="F6" s="115" t="s">
        <v>36</v>
      </c>
      <c r="G6" s="119">
        <f>IF(OR(ZWGafw="Ja",E6="ovk"),H6,E6)</f>
        <v>75920</v>
      </c>
      <c r="H6" s="120">
        <v>55000</v>
      </c>
      <c r="I6" s="196"/>
      <c r="J6" s="196"/>
      <c r="K6" s="196"/>
      <c r="L6" s="196"/>
      <c r="M6" s="196"/>
      <c r="N6" s="128"/>
      <c r="O6" s="115" t="s">
        <v>339</v>
      </c>
      <c r="P6" s="127">
        <f>IF(P5="dagen",260,2080)</f>
        <v>260</v>
      </c>
    </row>
    <row r="7" spans="1:17" x14ac:dyDescent="0.2">
      <c r="A7" s="96"/>
      <c r="B7" s="96"/>
      <c r="C7" s="197"/>
      <c r="D7" s="197"/>
      <c r="E7" s="146">
        <f>VLOOKUP(ZRegeling,Parameters[],8,0)</f>
        <v>0.2</v>
      </c>
      <c r="F7" s="115" t="s">
        <v>102</v>
      </c>
      <c r="G7" s="121">
        <f>IF(E7="staffel",H58,IF(OR(ZWGafw="Ja",E7="ovk"),H7,E7))</f>
        <v>0.2</v>
      </c>
      <c r="H7" s="122">
        <v>0.22</v>
      </c>
      <c r="I7" s="196"/>
      <c r="J7" s="196"/>
      <c r="K7" s="196"/>
      <c r="L7" s="196"/>
      <c r="M7" s="196"/>
      <c r="N7" s="128"/>
      <c r="O7" s="115" t="s">
        <v>67</v>
      </c>
      <c r="P7" s="115">
        <f>IF(P3="Maandelijks",12,13)</f>
        <v>12</v>
      </c>
    </row>
    <row r="8" spans="1:17" x14ac:dyDescent="0.2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7" hidden="1" x14ac:dyDescent="0.2">
      <c r="B9" s="128"/>
      <c r="C9" s="128"/>
      <c r="D9" s="128">
        <v>1</v>
      </c>
      <c r="E9" s="128">
        <v>2</v>
      </c>
      <c r="F9" s="128">
        <v>3</v>
      </c>
      <c r="G9" s="128">
        <v>4</v>
      </c>
      <c r="H9" s="128">
        <v>5</v>
      </c>
      <c r="I9" s="128">
        <v>6</v>
      </c>
      <c r="J9" s="128">
        <v>7</v>
      </c>
      <c r="K9" s="128">
        <v>8</v>
      </c>
      <c r="L9" s="128">
        <v>9</v>
      </c>
      <c r="M9" s="128">
        <v>10</v>
      </c>
      <c r="N9" s="128">
        <v>11</v>
      </c>
      <c r="O9" s="128">
        <v>12</v>
      </c>
      <c r="P9" s="128">
        <v>13</v>
      </c>
    </row>
    <row r="10" spans="1:17" s="104" customFormat="1" x14ac:dyDescent="0.2">
      <c r="B10" s="129" t="s">
        <v>90</v>
      </c>
      <c r="C10" s="129" t="s">
        <v>0</v>
      </c>
      <c r="D10" s="129" t="str">
        <f>VLOOKUP($P$3&amp;D9,Tijdvakken[],2,0)</f>
        <v>Januari</v>
      </c>
      <c r="E10" s="129" t="str">
        <f>VLOOKUP($P$3&amp;E9,Tijdvakken[],2,0)</f>
        <v>Februari</v>
      </c>
      <c r="F10" s="129" t="str">
        <f>VLOOKUP($P$3&amp;F9,Tijdvakken[],2,0)</f>
        <v>Maart</v>
      </c>
      <c r="G10" s="129" t="str">
        <f>VLOOKUP($P$3&amp;G9,Tijdvakken[],2,0)</f>
        <v>April</v>
      </c>
      <c r="H10" s="129" t="str">
        <f>VLOOKUP($P$3&amp;H9,Tijdvakken[],2,0)</f>
        <v>Mei</v>
      </c>
      <c r="I10" s="129" t="str">
        <f>VLOOKUP($P$3&amp;I9,Tijdvakken[],2,0)</f>
        <v>Juni</v>
      </c>
      <c r="J10" s="129" t="str">
        <f>VLOOKUP($P$3&amp;J9,Tijdvakken[],2,0)</f>
        <v>Juli</v>
      </c>
      <c r="K10" s="129" t="str">
        <f>VLOOKUP($P$3&amp;K9,Tijdvakken[],2,0)</f>
        <v>Augustus</v>
      </c>
      <c r="L10" s="129" t="str">
        <f>VLOOKUP($P$3&amp;L9,Tijdvakken[],2,0)</f>
        <v>September</v>
      </c>
      <c r="M10" s="129" t="str">
        <f>VLOOKUP($P$3&amp;M9,Tijdvakken[],2,0)</f>
        <v>Oktober</v>
      </c>
      <c r="N10" s="129" t="str">
        <f>VLOOKUP($P$3&amp;N9,Tijdvakken[],2,0)</f>
        <v>November</v>
      </c>
      <c r="O10" s="129" t="str">
        <f>VLOOKUP($P$3&amp;O9,Tijdvakken[],2,0)</f>
        <v>December</v>
      </c>
      <c r="P10" s="129" t="e">
        <f>VLOOKUP($P$3&amp;P9,Tijdvakken[],2,0)</f>
        <v>#N/A</v>
      </c>
    </row>
    <row r="11" spans="1:17" x14ac:dyDescent="0.2">
      <c r="B11" s="130" t="s">
        <v>97</v>
      </c>
      <c r="C11" s="131" t="s">
        <v>3</v>
      </c>
      <c r="D11" s="132">
        <f t="shared" ref="D11:P11" si="0">VLOOKUP(D10,TabelTijdvak,2,0)</f>
        <v>45658</v>
      </c>
      <c r="E11" s="132">
        <f t="shared" si="0"/>
        <v>45689</v>
      </c>
      <c r="F11" s="132">
        <f t="shared" si="0"/>
        <v>45717</v>
      </c>
      <c r="G11" s="132">
        <f t="shared" si="0"/>
        <v>45748</v>
      </c>
      <c r="H11" s="132">
        <f t="shared" si="0"/>
        <v>45778</v>
      </c>
      <c r="I11" s="132">
        <f t="shared" si="0"/>
        <v>45809</v>
      </c>
      <c r="J11" s="132">
        <f t="shared" si="0"/>
        <v>45839</v>
      </c>
      <c r="K11" s="132">
        <f t="shared" si="0"/>
        <v>45870</v>
      </c>
      <c r="L11" s="132">
        <f t="shared" si="0"/>
        <v>45901</v>
      </c>
      <c r="M11" s="132">
        <f t="shared" si="0"/>
        <v>45931</v>
      </c>
      <c r="N11" s="132">
        <f t="shared" si="0"/>
        <v>45962</v>
      </c>
      <c r="O11" s="132">
        <f t="shared" si="0"/>
        <v>45992</v>
      </c>
      <c r="P11" s="132" t="e">
        <f t="shared" si="0"/>
        <v>#N/A</v>
      </c>
    </row>
    <row r="12" spans="1:17" x14ac:dyDescent="0.2">
      <c r="B12" s="130" t="s">
        <v>98</v>
      </c>
      <c r="C12" s="131" t="s">
        <v>4</v>
      </c>
      <c r="D12" s="132">
        <f t="shared" ref="D12:P12" si="1">VLOOKUP(D10,TabelTijdvak,3,0)</f>
        <v>45688</v>
      </c>
      <c r="E12" s="132">
        <f t="shared" si="1"/>
        <v>45716</v>
      </c>
      <c r="F12" s="132">
        <f t="shared" si="1"/>
        <v>45747</v>
      </c>
      <c r="G12" s="132">
        <f t="shared" si="1"/>
        <v>45777</v>
      </c>
      <c r="H12" s="132">
        <f t="shared" si="1"/>
        <v>45808</v>
      </c>
      <c r="I12" s="132">
        <f t="shared" si="1"/>
        <v>45838</v>
      </c>
      <c r="J12" s="132">
        <f t="shared" si="1"/>
        <v>45869</v>
      </c>
      <c r="K12" s="132">
        <f t="shared" si="1"/>
        <v>45900</v>
      </c>
      <c r="L12" s="132">
        <f t="shared" si="1"/>
        <v>45930</v>
      </c>
      <c r="M12" s="132">
        <f t="shared" si="1"/>
        <v>45961</v>
      </c>
      <c r="N12" s="132">
        <f t="shared" si="1"/>
        <v>45991</v>
      </c>
      <c r="O12" s="132">
        <f t="shared" si="1"/>
        <v>46022</v>
      </c>
      <c r="P12" s="132" t="e">
        <f t="shared" si="1"/>
        <v>#N/A</v>
      </c>
    </row>
    <row r="13" spans="1:17" x14ac:dyDescent="0.2">
      <c r="B13" s="133"/>
      <c r="C13" s="128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5"/>
    </row>
    <row r="14" spans="1:17" x14ac:dyDescent="0.2">
      <c r="B14" s="130" t="s">
        <v>96</v>
      </c>
      <c r="C14" s="131" t="s">
        <v>30</v>
      </c>
      <c r="D14" s="132" t="str">
        <f>IF(OR($D$3&gt;D12,AND($D$4&lt;D11,$D$4&lt;&gt;0)),"",MAX(D11,$D$3))</f>
        <v/>
      </c>
      <c r="E14" s="132" t="str">
        <f t="shared" ref="E14:P14" si="2">IF(OR($D$3&gt;E12,AND($D$4&lt;E11,$D$4&lt;&gt;0)),"",MAX(E11,$D$3))</f>
        <v/>
      </c>
      <c r="F14" s="132" t="str">
        <f t="shared" si="2"/>
        <v/>
      </c>
      <c r="G14" s="132" t="str">
        <f t="shared" si="2"/>
        <v/>
      </c>
      <c r="H14" s="132" t="str">
        <f t="shared" si="2"/>
        <v/>
      </c>
      <c r="I14" s="132" t="str">
        <f t="shared" si="2"/>
        <v/>
      </c>
      <c r="J14" s="132" t="str">
        <f t="shared" si="2"/>
        <v/>
      </c>
      <c r="K14" s="132" t="str">
        <f t="shared" si="2"/>
        <v/>
      </c>
      <c r="L14" s="132" t="str">
        <f t="shared" si="2"/>
        <v/>
      </c>
      <c r="M14" s="132" t="str">
        <f t="shared" si="2"/>
        <v/>
      </c>
      <c r="N14" s="132" t="str">
        <f t="shared" si="2"/>
        <v/>
      </c>
      <c r="O14" s="132" t="str">
        <f t="shared" si="2"/>
        <v/>
      </c>
      <c r="P14" s="132" t="e">
        <f t="shared" si="2"/>
        <v>#N/A</v>
      </c>
    </row>
    <row r="15" spans="1:17" x14ac:dyDescent="0.2">
      <c r="B15" s="208" t="s">
        <v>99</v>
      </c>
      <c r="C15" s="136" t="s">
        <v>31</v>
      </c>
      <c r="D15" s="132" t="str">
        <f>IF(OR($D$3&gt;D12,AND($D$4&lt;D11,$D$4&lt;&gt;0)),"",MIN(D12,$D$4))</f>
        <v/>
      </c>
      <c r="E15" s="132" t="str">
        <f t="shared" ref="E15:P15" si="3">IF(OR($D$3&gt;E12,AND($D$4&lt;E11,$D$4&lt;&gt;0)),"",MIN(E12,$D$4))</f>
        <v/>
      </c>
      <c r="F15" s="132" t="str">
        <f t="shared" si="3"/>
        <v/>
      </c>
      <c r="G15" s="132" t="str">
        <f t="shared" si="3"/>
        <v/>
      </c>
      <c r="H15" s="132" t="str">
        <f t="shared" si="3"/>
        <v/>
      </c>
      <c r="I15" s="132" t="str">
        <f t="shared" si="3"/>
        <v/>
      </c>
      <c r="J15" s="132" t="str">
        <f t="shared" si="3"/>
        <v/>
      </c>
      <c r="K15" s="132" t="str">
        <f t="shared" si="3"/>
        <v/>
      </c>
      <c r="L15" s="132" t="str">
        <f t="shared" si="3"/>
        <v/>
      </c>
      <c r="M15" s="132" t="str">
        <f t="shared" si="3"/>
        <v/>
      </c>
      <c r="N15" s="132" t="str">
        <f t="shared" si="3"/>
        <v/>
      </c>
      <c r="O15" s="132" t="str">
        <f t="shared" si="3"/>
        <v/>
      </c>
      <c r="P15" s="132" t="e">
        <f t="shared" si="3"/>
        <v>#N/A</v>
      </c>
    </row>
    <row r="16" spans="1:17" x14ac:dyDescent="0.2">
      <c r="B16" s="208"/>
      <c r="C16" s="128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5"/>
    </row>
    <row r="17" spans="2:16" x14ac:dyDescent="0.2">
      <c r="B17" s="133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37"/>
    </row>
    <row r="18" spans="2:16" x14ac:dyDescent="0.2">
      <c r="B18" s="130" t="s">
        <v>95</v>
      </c>
      <c r="C18" s="131" t="s">
        <v>32</v>
      </c>
      <c r="D18" s="110">
        <v>40000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</row>
    <row r="19" spans="2:16" x14ac:dyDescent="0.2">
      <c r="B19" s="130" t="str">
        <f>"In UPA-bericht: "&amp;IF(P5="dagen","AantDgGew","AantVerlUPens")</f>
        <v>In UPA-bericht: AantDgGew</v>
      </c>
      <c r="C19" s="131" t="str">
        <f>IF(P5="dagen","Gewerkte dagen","Verloonde uren regeling")</f>
        <v>Gewerkte dagen</v>
      </c>
      <c r="D19" s="9">
        <v>161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2">
      <c r="B20" s="138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40"/>
    </row>
    <row r="21" spans="2:16" x14ac:dyDescent="0.2">
      <c r="B21" s="130"/>
      <c r="C21" s="130" t="s">
        <v>37</v>
      </c>
      <c r="D21" s="141">
        <f>SUM($D18:D18)</f>
        <v>40000</v>
      </c>
      <c r="E21" s="141">
        <f>SUM($D18:E18)</f>
        <v>40000</v>
      </c>
      <c r="F21" s="141">
        <f>SUM($D18:F18)</f>
        <v>40000</v>
      </c>
      <c r="G21" s="141">
        <f>SUM($D18:G18)</f>
        <v>40000</v>
      </c>
      <c r="H21" s="141">
        <f>SUM($D18:H18)</f>
        <v>40000</v>
      </c>
      <c r="I21" s="141">
        <f>SUM($D18:I18)</f>
        <v>40000</v>
      </c>
      <c r="J21" s="141">
        <f>SUM($D18:J18)</f>
        <v>40000</v>
      </c>
      <c r="K21" s="141">
        <f>SUM($D18:K18)</f>
        <v>40000</v>
      </c>
      <c r="L21" s="141">
        <f>SUM($D18:L18)</f>
        <v>40000</v>
      </c>
      <c r="M21" s="141">
        <f>SUM($D18:M18)</f>
        <v>40000</v>
      </c>
      <c r="N21" s="141">
        <f>SUM($D18:N18)</f>
        <v>40000</v>
      </c>
      <c r="O21" s="141">
        <f>SUM($D18:O18)</f>
        <v>40000</v>
      </c>
      <c r="P21" s="141">
        <f>SUM($D18:P18)</f>
        <v>40000</v>
      </c>
    </row>
    <row r="22" spans="2:16" x14ac:dyDescent="0.2">
      <c r="B22" s="130"/>
      <c r="C22" s="130" t="str">
        <f>IF(P5="dagen","Cumulatieve gewerkte dagen","Cumultieve verloonde uren")</f>
        <v>Cumulatieve gewerkte dagen</v>
      </c>
      <c r="D22" s="130">
        <f>MIN(SUM($D19:D19),ZMaxDuur)</f>
        <v>161</v>
      </c>
      <c r="E22" s="130">
        <f>MIN(SUM($D19:E19),ZMaxDuur)</f>
        <v>161</v>
      </c>
      <c r="F22" s="130">
        <f>MIN(SUM($D19:F19),ZMaxDuur)</f>
        <v>161</v>
      </c>
      <c r="G22" s="130">
        <f>MIN(SUM($D19:G19),ZMaxDuur)</f>
        <v>161</v>
      </c>
      <c r="H22" s="130">
        <f>MIN(SUM($D19:H19),ZMaxDuur)</f>
        <v>161</v>
      </c>
      <c r="I22" s="130">
        <f>MIN(SUM($D19:I19),ZMaxDuur)</f>
        <v>161</v>
      </c>
      <c r="J22" s="130">
        <f>MIN(SUM($D19:J19),ZMaxDuur)</f>
        <v>161</v>
      </c>
      <c r="K22" s="130">
        <f>MIN(SUM($D19:K19),ZMaxDuur)</f>
        <v>161</v>
      </c>
      <c r="L22" s="130">
        <f>MIN(SUM($D19:L19),ZMaxDuur)</f>
        <v>161</v>
      </c>
      <c r="M22" s="130">
        <f>MIN(SUM($D19:M19),ZMaxDuur)</f>
        <v>161</v>
      </c>
      <c r="N22" s="130">
        <f>MIN(SUM($D19:N19),ZMaxDuur)</f>
        <v>161</v>
      </c>
      <c r="O22" s="130">
        <f>MIN(SUM($D19:O19),ZMaxDuur)</f>
        <v>161</v>
      </c>
      <c r="P22" s="130">
        <f>MIN(SUM($D19:P19),ZMaxDuur)</f>
        <v>161</v>
      </c>
    </row>
    <row r="23" spans="2:16" x14ac:dyDescent="0.2">
      <c r="B23" s="133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37"/>
    </row>
    <row r="24" spans="2:16" x14ac:dyDescent="0.2">
      <c r="B24" s="130"/>
      <c r="C24" s="130" t="s">
        <v>112</v>
      </c>
      <c r="D24" s="141">
        <f t="shared" ref="D24:P24" si="4">ZFranchise/ZMaxDuur*D19</f>
        <v>11511.5</v>
      </c>
      <c r="E24" s="141">
        <f t="shared" si="4"/>
        <v>0</v>
      </c>
      <c r="F24" s="141">
        <f t="shared" si="4"/>
        <v>0</v>
      </c>
      <c r="G24" s="141">
        <f t="shared" si="4"/>
        <v>0</v>
      </c>
      <c r="H24" s="141">
        <f t="shared" si="4"/>
        <v>0</v>
      </c>
      <c r="I24" s="141">
        <f t="shared" si="4"/>
        <v>0</v>
      </c>
      <c r="J24" s="141">
        <f t="shared" si="4"/>
        <v>0</v>
      </c>
      <c r="K24" s="141">
        <f t="shared" si="4"/>
        <v>0</v>
      </c>
      <c r="L24" s="141">
        <f t="shared" si="4"/>
        <v>0</v>
      </c>
      <c r="M24" s="141">
        <f t="shared" si="4"/>
        <v>0</v>
      </c>
      <c r="N24" s="141">
        <f t="shared" si="4"/>
        <v>0</v>
      </c>
      <c r="O24" s="141">
        <f t="shared" si="4"/>
        <v>0</v>
      </c>
      <c r="P24" s="141">
        <f t="shared" si="4"/>
        <v>0</v>
      </c>
    </row>
    <row r="25" spans="2:16" x14ac:dyDescent="0.2">
      <c r="B25" s="130"/>
      <c r="C25" s="130" t="s">
        <v>113</v>
      </c>
      <c r="D25" s="141">
        <f t="shared" ref="D25:P25" si="5">ZFranchise/ZMaxDuur*D22</f>
        <v>11511.5</v>
      </c>
      <c r="E25" s="141">
        <f t="shared" si="5"/>
        <v>11511.5</v>
      </c>
      <c r="F25" s="141">
        <f t="shared" si="5"/>
        <v>11511.5</v>
      </c>
      <c r="G25" s="141">
        <f t="shared" si="5"/>
        <v>11511.5</v>
      </c>
      <c r="H25" s="141">
        <f t="shared" si="5"/>
        <v>11511.5</v>
      </c>
      <c r="I25" s="141">
        <f t="shared" si="5"/>
        <v>11511.5</v>
      </c>
      <c r="J25" s="141">
        <f t="shared" si="5"/>
        <v>11511.5</v>
      </c>
      <c r="K25" s="141">
        <f t="shared" si="5"/>
        <v>11511.5</v>
      </c>
      <c r="L25" s="141">
        <f t="shared" si="5"/>
        <v>11511.5</v>
      </c>
      <c r="M25" s="141">
        <f t="shared" si="5"/>
        <v>11511.5</v>
      </c>
      <c r="N25" s="141">
        <f t="shared" si="5"/>
        <v>11511.5</v>
      </c>
      <c r="O25" s="141">
        <f t="shared" si="5"/>
        <v>11511.5</v>
      </c>
      <c r="P25" s="141">
        <f t="shared" si="5"/>
        <v>11511.5</v>
      </c>
    </row>
    <row r="26" spans="2:16" x14ac:dyDescent="0.2">
      <c r="B26" s="133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37"/>
    </row>
    <row r="27" spans="2:16" x14ac:dyDescent="0.2">
      <c r="B27" s="130"/>
      <c r="C27" s="130" t="s">
        <v>114</v>
      </c>
      <c r="D27" s="141">
        <f t="shared" ref="D27:P27" si="6">ZMaxLoon/ZMaxDuur*D19</f>
        <v>47012</v>
      </c>
      <c r="E27" s="141">
        <f t="shared" si="6"/>
        <v>0</v>
      </c>
      <c r="F27" s="141">
        <f t="shared" si="6"/>
        <v>0</v>
      </c>
      <c r="G27" s="141">
        <f t="shared" si="6"/>
        <v>0</v>
      </c>
      <c r="H27" s="141">
        <f t="shared" si="6"/>
        <v>0</v>
      </c>
      <c r="I27" s="141">
        <f t="shared" si="6"/>
        <v>0</v>
      </c>
      <c r="J27" s="141">
        <f t="shared" si="6"/>
        <v>0</v>
      </c>
      <c r="K27" s="141">
        <f t="shared" si="6"/>
        <v>0</v>
      </c>
      <c r="L27" s="141">
        <f t="shared" si="6"/>
        <v>0</v>
      </c>
      <c r="M27" s="141">
        <f t="shared" si="6"/>
        <v>0</v>
      </c>
      <c r="N27" s="141">
        <f t="shared" si="6"/>
        <v>0</v>
      </c>
      <c r="O27" s="141">
        <f t="shared" si="6"/>
        <v>0</v>
      </c>
      <c r="P27" s="141">
        <f t="shared" si="6"/>
        <v>0</v>
      </c>
    </row>
    <row r="28" spans="2:16" x14ac:dyDescent="0.2">
      <c r="B28" s="130"/>
      <c r="C28" s="130" t="s">
        <v>115</v>
      </c>
      <c r="D28" s="141">
        <f t="shared" ref="D28:P28" si="7">ZMaxLoon/ZMaxDuur*D22</f>
        <v>47012</v>
      </c>
      <c r="E28" s="141">
        <f t="shared" si="7"/>
        <v>47012</v>
      </c>
      <c r="F28" s="141">
        <f t="shared" si="7"/>
        <v>47012</v>
      </c>
      <c r="G28" s="141">
        <f t="shared" si="7"/>
        <v>47012</v>
      </c>
      <c r="H28" s="141">
        <f t="shared" si="7"/>
        <v>47012</v>
      </c>
      <c r="I28" s="141">
        <f t="shared" si="7"/>
        <v>47012</v>
      </c>
      <c r="J28" s="141">
        <f t="shared" si="7"/>
        <v>47012</v>
      </c>
      <c r="K28" s="141">
        <f t="shared" si="7"/>
        <v>47012</v>
      </c>
      <c r="L28" s="141">
        <f t="shared" si="7"/>
        <v>47012</v>
      </c>
      <c r="M28" s="141">
        <f t="shared" si="7"/>
        <v>47012</v>
      </c>
      <c r="N28" s="141">
        <f t="shared" si="7"/>
        <v>47012</v>
      </c>
      <c r="O28" s="141">
        <f t="shared" si="7"/>
        <v>47012</v>
      </c>
      <c r="P28" s="141">
        <f t="shared" si="7"/>
        <v>47012</v>
      </c>
    </row>
    <row r="29" spans="2:16" x14ac:dyDescent="0.2">
      <c r="B29" s="133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37"/>
    </row>
    <row r="30" spans="2:16" x14ac:dyDescent="0.2">
      <c r="B30" s="130"/>
      <c r="C30" s="130" t="s">
        <v>116</v>
      </c>
      <c r="D30" s="141">
        <f>MAX(MIN(D21,D28)-D25,0)</f>
        <v>28488.5</v>
      </c>
      <c r="E30" s="141">
        <f t="shared" ref="E30:P30" si="8">MAX(MIN(E21,E28)-E25,0)</f>
        <v>28488.5</v>
      </c>
      <c r="F30" s="141">
        <f t="shared" si="8"/>
        <v>28488.5</v>
      </c>
      <c r="G30" s="141">
        <f t="shared" si="8"/>
        <v>28488.5</v>
      </c>
      <c r="H30" s="141">
        <f t="shared" si="8"/>
        <v>28488.5</v>
      </c>
      <c r="I30" s="141">
        <f t="shared" si="8"/>
        <v>28488.5</v>
      </c>
      <c r="J30" s="141">
        <f t="shared" si="8"/>
        <v>28488.5</v>
      </c>
      <c r="K30" s="141">
        <f t="shared" si="8"/>
        <v>28488.5</v>
      </c>
      <c r="L30" s="141">
        <f t="shared" si="8"/>
        <v>28488.5</v>
      </c>
      <c r="M30" s="141">
        <f t="shared" si="8"/>
        <v>28488.5</v>
      </c>
      <c r="N30" s="141">
        <f t="shared" si="8"/>
        <v>28488.5</v>
      </c>
      <c r="O30" s="141">
        <f t="shared" si="8"/>
        <v>28488.5</v>
      </c>
      <c r="P30" s="141">
        <f t="shared" si="8"/>
        <v>28488.5</v>
      </c>
    </row>
    <row r="31" spans="2:16" x14ac:dyDescent="0.2">
      <c r="B31" s="133"/>
      <c r="C31" s="128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3"/>
    </row>
    <row r="32" spans="2:16" x14ac:dyDescent="0.2">
      <c r="B32" s="130" t="s">
        <v>93</v>
      </c>
      <c r="C32" s="131" t="s">
        <v>39</v>
      </c>
      <c r="D32" s="141">
        <f>D30</f>
        <v>28488.5</v>
      </c>
      <c r="E32" s="141">
        <f>E30-D30</f>
        <v>0</v>
      </c>
      <c r="F32" s="141">
        <f t="shared" ref="F32:P32" si="9">F30-E30</f>
        <v>0</v>
      </c>
      <c r="G32" s="141">
        <f t="shared" si="9"/>
        <v>0</v>
      </c>
      <c r="H32" s="141">
        <f t="shared" si="9"/>
        <v>0</v>
      </c>
      <c r="I32" s="141">
        <f t="shared" si="9"/>
        <v>0</v>
      </c>
      <c r="J32" s="141">
        <f t="shared" si="9"/>
        <v>0</v>
      </c>
      <c r="K32" s="141">
        <f t="shared" si="9"/>
        <v>0</v>
      </c>
      <c r="L32" s="141">
        <f t="shared" si="9"/>
        <v>0</v>
      </c>
      <c r="M32" s="141">
        <f t="shared" si="9"/>
        <v>0</v>
      </c>
      <c r="N32" s="141">
        <f t="shared" si="9"/>
        <v>0</v>
      </c>
      <c r="O32" s="141">
        <f t="shared" si="9"/>
        <v>0</v>
      </c>
      <c r="P32" s="141">
        <f t="shared" si="9"/>
        <v>0</v>
      </c>
    </row>
    <row r="33" spans="2:30" x14ac:dyDescent="0.2">
      <c r="B33" s="130" t="s">
        <v>94</v>
      </c>
      <c r="C33" s="131" t="s">
        <v>38</v>
      </c>
      <c r="D33" s="141">
        <f t="shared" ref="D33:P33" si="10">ROUND(D32*ZPremiePercentage,2)</f>
        <v>5697.7</v>
      </c>
      <c r="E33" s="141">
        <f t="shared" si="10"/>
        <v>0</v>
      </c>
      <c r="F33" s="141">
        <f t="shared" si="10"/>
        <v>0</v>
      </c>
      <c r="G33" s="141">
        <f t="shared" si="10"/>
        <v>0</v>
      </c>
      <c r="H33" s="141">
        <f t="shared" si="10"/>
        <v>0</v>
      </c>
      <c r="I33" s="141">
        <f t="shared" si="10"/>
        <v>0</v>
      </c>
      <c r="J33" s="141">
        <f t="shared" si="10"/>
        <v>0</v>
      </c>
      <c r="K33" s="141">
        <f t="shared" si="10"/>
        <v>0</v>
      </c>
      <c r="L33" s="141">
        <f t="shared" si="10"/>
        <v>0</v>
      </c>
      <c r="M33" s="141">
        <f t="shared" si="10"/>
        <v>0</v>
      </c>
      <c r="N33" s="141">
        <f t="shared" si="10"/>
        <v>0</v>
      </c>
      <c r="O33" s="141">
        <f t="shared" si="10"/>
        <v>0</v>
      </c>
      <c r="P33" s="141">
        <f t="shared" si="10"/>
        <v>0</v>
      </c>
    </row>
    <row r="34" spans="2:30" x14ac:dyDescent="0.2">
      <c r="B34" s="130"/>
      <c r="C34" s="130" t="s">
        <v>40</v>
      </c>
      <c r="D34" s="141">
        <f>SUM($D33:D33)</f>
        <v>5697.7</v>
      </c>
      <c r="E34" s="141">
        <f>SUM($D33:E33)</f>
        <v>5697.7</v>
      </c>
      <c r="F34" s="141">
        <f>SUM($D33:F33)</f>
        <v>5697.7</v>
      </c>
      <c r="G34" s="141">
        <f>SUM($D33:G33)</f>
        <v>5697.7</v>
      </c>
      <c r="H34" s="141">
        <f>SUM($D33:H33)</f>
        <v>5697.7</v>
      </c>
      <c r="I34" s="141">
        <f>SUM($D33:I33)</f>
        <v>5697.7</v>
      </c>
      <c r="J34" s="141">
        <f>SUM($D33:J33)</f>
        <v>5697.7</v>
      </c>
      <c r="K34" s="141">
        <f>SUM($D33:K33)</f>
        <v>5697.7</v>
      </c>
      <c r="L34" s="141">
        <f>SUM($D33:L33)</f>
        <v>5697.7</v>
      </c>
      <c r="M34" s="141">
        <f>SUM($D33:M33)</f>
        <v>5697.7</v>
      </c>
      <c r="N34" s="141">
        <f>SUM($D33:N33)</f>
        <v>5697.7</v>
      </c>
      <c r="O34" s="141">
        <f>SUM($D33:O33)</f>
        <v>5697.7</v>
      </c>
      <c r="P34" s="141">
        <f>SUM($D33:P33)</f>
        <v>5697.7</v>
      </c>
    </row>
    <row r="35" spans="2:30" x14ac:dyDescent="0.2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</row>
    <row r="36" spans="2:30" x14ac:dyDescent="0.2">
      <c r="B36" s="128"/>
      <c r="C36" s="128"/>
      <c r="D36" s="128"/>
      <c r="E36" s="128"/>
      <c r="F36" s="128"/>
      <c r="G36" s="142"/>
      <c r="H36" s="128"/>
      <c r="I36" s="128"/>
      <c r="J36" s="128"/>
      <c r="K36" s="128"/>
      <c r="L36" s="128"/>
      <c r="M36" s="128"/>
      <c r="N36" s="128"/>
      <c r="O36" s="128"/>
      <c r="P36" s="128"/>
    </row>
    <row r="37" spans="2:30" x14ac:dyDescent="0.2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72"/>
      <c r="N37" s="209" t="s">
        <v>83</v>
      </c>
      <c r="O37" s="209"/>
      <c r="P37" s="14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</row>
    <row r="38" spans="2:30" x14ac:dyDescent="0.2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73"/>
      <c r="N38" s="210" t="s">
        <v>84</v>
      </c>
      <c r="O38" s="210"/>
      <c r="P38" s="14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</row>
    <row r="39" spans="2:30" x14ac:dyDescent="0.2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</row>
    <row r="40" spans="2:30" x14ac:dyDescent="0.2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</row>
    <row r="41" spans="2:30" x14ac:dyDescent="0.2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</row>
    <row r="42" spans="2:30" x14ac:dyDescent="0.2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</row>
    <row r="43" spans="2:30" x14ac:dyDescent="0.2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</row>
    <row r="44" spans="2:30" x14ac:dyDescent="0.2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</row>
    <row r="45" spans="2:30" x14ac:dyDescent="0.2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</row>
    <row r="46" spans="2:30" x14ac:dyDescent="0.2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</row>
    <row r="47" spans="2:30" x14ac:dyDescent="0.2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</row>
    <row r="48" spans="2:30" x14ac:dyDescent="0.2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</row>
    <row r="49" spans="2:30" x14ac:dyDescent="0.2"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</row>
    <row r="50" spans="2:30" x14ac:dyDescent="0.2"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</row>
    <row r="51" spans="2:30" x14ac:dyDescent="0.2">
      <c r="B51" s="14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</row>
    <row r="52" spans="2:30" x14ac:dyDescent="0.2"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</row>
    <row r="53" spans="2:30" x14ac:dyDescent="0.2"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</row>
    <row r="54" spans="2:30" x14ac:dyDescent="0.2"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</row>
    <row r="55" spans="2:30" x14ac:dyDescent="0.2"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</row>
    <row r="56" spans="2:30" x14ac:dyDescent="0.2"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</row>
    <row r="57" spans="2:30" x14ac:dyDescent="0.2"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</row>
    <row r="58" spans="2:30" x14ac:dyDescent="0.2"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</row>
    <row r="59" spans="2:30" x14ac:dyDescent="0.2"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</row>
    <row r="60" spans="2:30" x14ac:dyDescent="0.2"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</row>
    <row r="61" spans="2:30" x14ac:dyDescent="0.2"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</row>
    <row r="62" spans="2:30" x14ac:dyDescent="0.2"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</row>
    <row r="63" spans="2:30" x14ac:dyDescent="0.2"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</row>
    <row r="64" spans="2:30" x14ac:dyDescent="0.2"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</row>
    <row r="65" spans="2:30" x14ac:dyDescent="0.2"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</row>
  </sheetData>
  <sheetProtection algorithmName="SHA-512" hashValue="AAfHbW/6JivyEpDxCMQkbBT3TdkSn689DUglJgfd/0G6lMph5kLZ4L5qo3tRRHeU7uACQmrYI7+aiJ5y+FB1dw==" saltValue="4GjArIgfTJt9gHLQ4G3qMA==" spinCount="100000" sheet="1" objects="1" scenarios="1"/>
  <mergeCells count="9">
    <mergeCell ref="B15:B16"/>
    <mergeCell ref="N37:O37"/>
    <mergeCell ref="N38:O38"/>
    <mergeCell ref="C2:D2"/>
    <mergeCell ref="F2:M2"/>
    <mergeCell ref="F3:H3"/>
    <mergeCell ref="I3:M7"/>
    <mergeCell ref="F4:G4"/>
    <mergeCell ref="C6:D7"/>
  </mergeCells>
  <conditionalFormatting sqref="C6:D7">
    <cfRule type="notContainsBlanks" dxfId="21" priority="38">
      <formula>LEN(TRIM(C6))&gt;0</formula>
    </cfRule>
  </conditionalFormatting>
  <conditionalFormatting sqref="D15:P15">
    <cfRule type="cellIs" dxfId="20" priority="10" operator="notEqual">
      <formula>$D$4</formula>
    </cfRule>
  </conditionalFormatting>
  <conditionalFormatting sqref="D18:P19">
    <cfRule type="expression" dxfId="19" priority="1">
      <formula>AND(D14="",D18&lt;&gt;"")</formula>
    </cfRule>
    <cfRule type="expression" dxfId="18" priority="9">
      <formula>AND(D14="",D18="")</formula>
    </cfRule>
  </conditionalFormatting>
  <conditionalFormatting sqref="F4:H4">
    <cfRule type="expression" dxfId="17" priority="5">
      <formula>OR($E$3="Nee",$E$3="N.v.t.")</formula>
    </cfRule>
  </conditionalFormatting>
  <conditionalFormatting sqref="G5:G7">
    <cfRule type="expression" dxfId="16" priority="4">
      <formula>OR(ZWGafw="Ja",E5="ovk")</formula>
    </cfRule>
  </conditionalFormatting>
  <conditionalFormatting sqref="G7">
    <cfRule type="expression" dxfId="15" priority="3">
      <formula>$E$7="staffel"</formula>
    </cfRule>
  </conditionalFormatting>
  <conditionalFormatting sqref="H5:H7">
    <cfRule type="expression" dxfId="14" priority="7">
      <formula>OR(ZWGafw="Ja",E5="ovk")</formula>
    </cfRule>
  </conditionalFormatting>
  <conditionalFormatting sqref="H7">
    <cfRule type="expression" dxfId="13" priority="6">
      <formula>$E$7="staffel"</formula>
    </cfRule>
  </conditionalFormatting>
  <conditionalFormatting sqref="P10:P34">
    <cfRule type="expression" dxfId="12" priority="37">
      <formula>$P$7=12</formula>
    </cfRule>
  </conditionalFormatting>
  <dataValidations count="3">
    <dataValidation type="list" allowBlank="1" showInputMessage="1" showErrorMessage="1" sqref="P3" xr:uid="{00000000-0002-0000-0200-000000000000}">
      <formula1>"Maandelijks,4-wekelijks"</formula1>
    </dataValidation>
    <dataValidation type="list" allowBlank="1" showInputMessage="1" showErrorMessage="1" sqref="H4" xr:uid="{00000000-0002-0000-0200-000001000000}">
      <formula1>"Ja,Nee"</formula1>
    </dataValidation>
    <dataValidation type="list" allowBlank="1" showInputMessage="1" showErrorMessage="1" sqref="F3:H3" xr:uid="{00000000-0002-0000-0200-000002000000}">
      <formula1>RegUltimoZeevis</formula1>
    </dataValidation>
  </dataValidations>
  <pageMargins left="0.7" right="0.7" top="0.75" bottom="0.75" header="0.3" footer="0.3"/>
  <pageSetup paperSize="9" orientation="portrait" verticalDpi="0" r:id="rId1"/>
  <ignoredErrors>
    <ignoredError sqref="P10:P15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BC98-75F8-415A-97B8-387DC2981182}">
  <sheetPr>
    <tabColor rgb="FFB6C932"/>
  </sheetPr>
  <dimension ref="B1:P39"/>
  <sheetViews>
    <sheetView zoomScale="147" zoomScaleNormal="147" workbookViewId="0">
      <selection activeCell="F3" sqref="F3:H3"/>
    </sheetView>
  </sheetViews>
  <sheetFormatPr defaultRowHeight="15" x14ac:dyDescent="0.25"/>
  <cols>
    <col min="1" max="1" width="0.5703125" customWidth="1"/>
    <col min="2" max="2" width="35.5703125" customWidth="1"/>
    <col min="3" max="3" width="22.28515625" customWidth="1"/>
    <col min="4" max="8" width="14.28515625" bestFit="1" customWidth="1"/>
    <col min="9" max="9" width="12.28515625" bestFit="1" customWidth="1"/>
    <col min="10" max="13" width="11.28515625" bestFit="1" customWidth="1"/>
    <col min="14" max="14" width="17.42578125" bestFit="1" customWidth="1"/>
    <col min="15" max="15" width="14.28515625" bestFit="1" customWidth="1"/>
  </cols>
  <sheetData>
    <row r="1" spans="2:16" x14ac:dyDescent="0.25"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2:16" x14ac:dyDescent="0.25">
      <c r="B2" s="96"/>
      <c r="C2" s="193" t="s">
        <v>111</v>
      </c>
      <c r="D2" s="193"/>
      <c r="E2" s="99"/>
      <c r="F2" s="206" t="s">
        <v>34</v>
      </c>
      <c r="G2" s="206"/>
      <c r="H2" s="206"/>
      <c r="I2" s="206"/>
      <c r="J2" s="206"/>
      <c r="K2" s="206"/>
      <c r="L2" s="206"/>
      <c r="M2" s="206"/>
      <c r="N2" s="128"/>
      <c r="O2" s="154" t="s">
        <v>242</v>
      </c>
      <c r="P2" s="156"/>
    </row>
    <row r="3" spans="2:16" x14ac:dyDescent="0.25">
      <c r="C3" s="115" t="s">
        <v>100</v>
      </c>
      <c r="D3" s="11">
        <v>45292</v>
      </c>
      <c r="E3" s="102" t="str">
        <f>VLOOKUP(ASFregeling,Parameters[],12,0)</f>
        <v>nee</v>
      </c>
      <c r="F3" s="195" t="s">
        <v>464</v>
      </c>
      <c r="G3" s="195"/>
      <c r="H3" s="195"/>
      <c r="I3" s="196" t="str">
        <f>VLOOKUP(F3,Parameters!A:F,6,0)</f>
        <v xml:space="preserve">ASF Regeling Vervroegd Uitdiensttreding Grafimedia, verplicht.
Regeling op basis van doorsneepremie met ultimo grondslag
</v>
      </c>
      <c r="J3" s="196"/>
      <c r="K3" s="196"/>
      <c r="L3" s="196"/>
      <c r="M3" s="196"/>
      <c r="N3" s="128"/>
      <c r="O3" s="115" t="s">
        <v>66</v>
      </c>
      <c r="P3" s="8" t="s">
        <v>328</v>
      </c>
    </row>
    <row r="4" spans="2:16" x14ac:dyDescent="0.25">
      <c r="B4" s="96"/>
      <c r="C4" s="116" t="s">
        <v>101</v>
      </c>
      <c r="D4" s="12">
        <v>45657</v>
      </c>
      <c r="E4" s="102" t="str">
        <f>IF(OR(E3="Nee",E3="n.v.t."),"Nee",H4)</f>
        <v>Nee</v>
      </c>
      <c r="F4" s="192" t="s">
        <v>235</v>
      </c>
      <c r="G4" s="192"/>
      <c r="H4" s="9" t="s">
        <v>236</v>
      </c>
      <c r="I4" s="196"/>
      <c r="J4" s="196"/>
      <c r="K4" s="196"/>
      <c r="L4" s="196"/>
      <c r="M4" s="196"/>
      <c r="N4" s="128"/>
      <c r="O4" s="115" t="s">
        <v>88</v>
      </c>
      <c r="P4" s="8">
        <v>40</v>
      </c>
    </row>
    <row r="5" spans="2:16" x14ac:dyDescent="0.25">
      <c r="B5" s="96"/>
      <c r="C5" s="117"/>
      <c r="D5" s="117"/>
      <c r="E5" s="102">
        <f>VLOOKUP(ASFregeling,Parameters[],11,0)</f>
        <v>0</v>
      </c>
      <c r="F5" s="115" t="s">
        <v>35</v>
      </c>
      <c r="G5" s="119">
        <f>IF(OR(ASFWGafW="Ja",E5="ovk"),H5,E5)</f>
        <v>0</v>
      </c>
      <c r="H5" s="10" t="s">
        <v>458</v>
      </c>
      <c r="I5" s="196"/>
      <c r="J5" s="196"/>
      <c r="K5" s="196"/>
      <c r="L5" s="196"/>
      <c r="M5" s="196"/>
      <c r="N5" s="128"/>
      <c r="O5" s="133"/>
      <c r="P5" s="137"/>
    </row>
    <row r="6" spans="2:16" x14ac:dyDescent="0.25">
      <c r="B6" s="96"/>
      <c r="C6" s="197" t="str">
        <f>IF(VLOOKUP(ASFregeling,Parameters[],8,0)="staffel","Zie onderin deze sheet voor de afleiding van het premie-percentage (o.b.v. staffel)","")</f>
        <v/>
      </c>
      <c r="D6" s="197"/>
      <c r="E6" s="102">
        <f>VLOOKUP(ASFregeling,Parameters[],7,0)</f>
        <v>75864</v>
      </c>
      <c r="F6" s="115" t="s">
        <v>36</v>
      </c>
      <c r="G6" s="119">
        <f>IF(OR(ASFWGafW="Ja",E6="ovk"),H6,E6)</f>
        <v>75864</v>
      </c>
      <c r="H6" s="10">
        <v>55000</v>
      </c>
      <c r="I6" s="196"/>
      <c r="J6" s="196"/>
      <c r="K6" s="196"/>
      <c r="L6" s="196"/>
      <c r="M6" s="196"/>
      <c r="N6" s="128"/>
      <c r="O6" s="115" t="s">
        <v>339</v>
      </c>
      <c r="P6" s="155">
        <f>P4*52</f>
        <v>2080</v>
      </c>
    </row>
    <row r="7" spans="2:16" x14ac:dyDescent="0.25">
      <c r="B7" s="96"/>
      <c r="C7" s="197"/>
      <c r="D7" s="197"/>
      <c r="E7" s="102">
        <f>VLOOKUP(ASFregeling,Parameters[],8,0)</f>
        <v>2E-3</v>
      </c>
      <c r="F7" s="115" t="s">
        <v>102</v>
      </c>
      <c r="G7" s="121">
        <f>IF(E7="staffel",H43,IF(OR(ASFWGafW="Ja",E7="ovk"),H7,E7))</f>
        <v>2E-3</v>
      </c>
      <c r="H7" s="122">
        <v>0.22</v>
      </c>
      <c r="I7" s="196"/>
      <c r="J7" s="196"/>
      <c r="K7" s="196"/>
      <c r="L7" s="196"/>
      <c r="M7" s="196"/>
      <c r="N7" s="128"/>
      <c r="O7" s="115" t="s">
        <v>67</v>
      </c>
      <c r="P7" s="115">
        <f>IF(P3="Maandelijks",12,13)</f>
        <v>12</v>
      </c>
    </row>
    <row r="8" spans="2:16" x14ac:dyDescent="0.25">
      <c r="B8" s="96"/>
      <c r="C8" s="96"/>
      <c r="D8" s="96"/>
      <c r="E8" s="147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2:16" x14ac:dyDescent="0.25">
      <c r="B9" s="104" t="s">
        <v>90</v>
      </c>
      <c r="C9" s="98"/>
      <c r="D9" s="98">
        <v>1</v>
      </c>
      <c r="E9" s="98">
        <v>2</v>
      </c>
      <c r="F9" s="98">
        <v>3</v>
      </c>
      <c r="G9" s="98">
        <v>4</v>
      </c>
      <c r="H9" s="98">
        <v>5</v>
      </c>
      <c r="I9" s="98">
        <v>6</v>
      </c>
      <c r="J9" s="98">
        <v>7</v>
      </c>
      <c r="K9" s="98">
        <v>8</v>
      </c>
      <c r="L9" s="98">
        <v>9</v>
      </c>
      <c r="M9" s="98">
        <v>10</v>
      </c>
      <c r="N9" s="98">
        <v>11</v>
      </c>
      <c r="O9" s="98">
        <v>12</v>
      </c>
      <c r="P9" s="98">
        <v>13</v>
      </c>
    </row>
    <row r="10" spans="2:16" x14ac:dyDescent="0.25">
      <c r="B10" s="129" t="s">
        <v>90</v>
      </c>
      <c r="C10" s="129" t="s">
        <v>0</v>
      </c>
      <c r="D10" s="129" t="str">
        <f>VLOOKUP($P$3&amp;D9,Tijdvakken[],2,0)</f>
        <v>Januari</v>
      </c>
      <c r="E10" s="129" t="str">
        <f>VLOOKUP($P$3&amp;E9,Tijdvakken[],2,0)</f>
        <v>Februari</v>
      </c>
      <c r="F10" s="129" t="str">
        <f>VLOOKUP($P$3&amp;F9,Tijdvakken[],2,0)</f>
        <v>Maart</v>
      </c>
      <c r="G10" s="129" t="str">
        <f>VLOOKUP($P$3&amp;G9,Tijdvakken[],2,0)</f>
        <v>April</v>
      </c>
      <c r="H10" s="129" t="str">
        <f>VLOOKUP($P$3&amp;H9,Tijdvakken[],2,0)</f>
        <v>Mei</v>
      </c>
      <c r="I10" s="129" t="str">
        <f>VLOOKUP($P$3&amp;I9,Tijdvakken[],2,0)</f>
        <v>Juni</v>
      </c>
      <c r="J10" s="129" t="str">
        <f>VLOOKUP($P$3&amp;J9,Tijdvakken[],2,0)</f>
        <v>Juli</v>
      </c>
      <c r="K10" s="129" t="str">
        <f>VLOOKUP($P$3&amp;K9,Tijdvakken[],2,0)</f>
        <v>Augustus</v>
      </c>
      <c r="L10" s="129" t="str">
        <f>VLOOKUP($P$3&amp;L9,Tijdvakken[],2,0)</f>
        <v>September</v>
      </c>
      <c r="M10" s="129" t="str">
        <f>VLOOKUP($P$3&amp;M9,Tijdvakken[],2,0)</f>
        <v>Oktober</v>
      </c>
      <c r="N10" s="129" t="str">
        <f>VLOOKUP($P$3&amp;N9,Tijdvakken[],2,0)</f>
        <v>November</v>
      </c>
      <c r="O10" s="129" t="str">
        <f>VLOOKUP($P$3&amp;O9,Tijdvakken[],2,0)</f>
        <v>December</v>
      </c>
      <c r="P10" s="105" t="e">
        <f>VLOOKUP($P$3&amp;P9,Tijdvakken[],2,0)</f>
        <v>#N/A</v>
      </c>
    </row>
    <row r="11" spans="2:16" x14ac:dyDescent="0.25">
      <c r="B11" s="130" t="s">
        <v>97</v>
      </c>
      <c r="C11" s="131" t="s">
        <v>3</v>
      </c>
      <c r="D11" s="132">
        <f t="shared" ref="D11:P11" si="0">VLOOKUP(D10,TabelTijdvak,2,0)</f>
        <v>45658</v>
      </c>
      <c r="E11" s="132">
        <f t="shared" si="0"/>
        <v>45689</v>
      </c>
      <c r="F11" s="132">
        <f t="shared" si="0"/>
        <v>45717</v>
      </c>
      <c r="G11" s="132">
        <f t="shared" si="0"/>
        <v>45748</v>
      </c>
      <c r="H11" s="132">
        <f t="shared" si="0"/>
        <v>45778</v>
      </c>
      <c r="I11" s="132">
        <f t="shared" si="0"/>
        <v>45809</v>
      </c>
      <c r="J11" s="132">
        <f t="shared" si="0"/>
        <v>45839</v>
      </c>
      <c r="K11" s="132">
        <f t="shared" si="0"/>
        <v>45870</v>
      </c>
      <c r="L11" s="132">
        <f t="shared" si="0"/>
        <v>45901</v>
      </c>
      <c r="M11" s="132">
        <f t="shared" si="0"/>
        <v>45931</v>
      </c>
      <c r="N11" s="132">
        <f t="shared" si="0"/>
        <v>45962</v>
      </c>
      <c r="O11" s="132">
        <f t="shared" si="0"/>
        <v>45992</v>
      </c>
      <c r="P11" s="107" t="e">
        <f t="shared" si="0"/>
        <v>#N/A</v>
      </c>
    </row>
    <row r="12" spans="2:16" x14ac:dyDescent="0.25">
      <c r="B12" s="130" t="s">
        <v>98</v>
      </c>
      <c r="C12" s="131" t="s">
        <v>4</v>
      </c>
      <c r="D12" s="132">
        <f t="shared" ref="D12:P12" si="1">VLOOKUP(D10,TabelTijdvak,3,0)</f>
        <v>45688</v>
      </c>
      <c r="E12" s="132">
        <f t="shared" si="1"/>
        <v>45716</v>
      </c>
      <c r="F12" s="132">
        <f t="shared" si="1"/>
        <v>45747</v>
      </c>
      <c r="G12" s="132">
        <f t="shared" si="1"/>
        <v>45777</v>
      </c>
      <c r="H12" s="132">
        <f t="shared" si="1"/>
        <v>45808</v>
      </c>
      <c r="I12" s="132">
        <f t="shared" si="1"/>
        <v>45838</v>
      </c>
      <c r="J12" s="132">
        <f t="shared" si="1"/>
        <v>45869</v>
      </c>
      <c r="K12" s="132">
        <f t="shared" si="1"/>
        <v>45900</v>
      </c>
      <c r="L12" s="132">
        <f t="shared" si="1"/>
        <v>45930</v>
      </c>
      <c r="M12" s="132">
        <f t="shared" si="1"/>
        <v>45961</v>
      </c>
      <c r="N12" s="132">
        <f t="shared" si="1"/>
        <v>45991</v>
      </c>
      <c r="O12" s="132">
        <f t="shared" si="1"/>
        <v>46022</v>
      </c>
      <c r="P12" s="107" t="e">
        <f t="shared" si="1"/>
        <v>#N/A</v>
      </c>
    </row>
    <row r="13" spans="2:16" x14ac:dyDescent="0.25">
      <c r="B13" s="133"/>
      <c r="C13" s="128"/>
      <c r="D13" s="134"/>
      <c r="E13" s="134"/>
      <c r="F13" s="134"/>
      <c r="G13" s="134"/>
      <c r="H13" s="134"/>
      <c r="I13" s="157"/>
      <c r="J13" s="134"/>
      <c r="K13" s="134"/>
      <c r="L13" s="134"/>
      <c r="M13" s="134"/>
      <c r="N13" s="134"/>
      <c r="O13" s="134"/>
      <c r="P13" s="108"/>
    </row>
    <row r="14" spans="2:16" x14ac:dyDescent="0.25">
      <c r="B14" s="130" t="s">
        <v>96</v>
      </c>
      <c r="C14" s="131" t="s">
        <v>30</v>
      </c>
      <c r="D14" s="132" t="str">
        <f t="shared" ref="D14:P14" si="2">IF(OR($D$3&gt;D12,AND($D$4&lt;D11,$D$4&lt;&gt;0)),"",MAX(D11,$D$3))</f>
        <v/>
      </c>
      <c r="E14" s="132" t="str">
        <f t="shared" si="2"/>
        <v/>
      </c>
      <c r="F14" s="132" t="str">
        <f t="shared" si="2"/>
        <v/>
      </c>
      <c r="G14" s="132" t="str">
        <f t="shared" si="2"/>
        <v/>
      </c>
      <c r="H14" s="132" t="str">
        <f t="shared" si="2"/>
        <v/>
      </c>
      <c r="I14" s="132" t="str">
        <f t="shared" si="2"/>
        <v/>
      </c>
      <c r="J14" s="132" t="str">
        <f t="shared" si="2"/>
        <v/>
      </c>
      <c r="K14" s="132" t="str">
        <f t="shared" si="2"/>
        <v/>
      </c>
      <c r="L14" s="132" t="str">
        <f t="shared" si="2"/>
        <v/>
      </c>
      <c r="M14" s="132" t="str">
        <f t="shared" si="2"/>
        <v/>
      </c>
      <c r="N14" s="132" t="str">
        <f t="shared" si="2"/>
        <v/>
      </c>
      <c r="O14" s="132" t="str">
        <f t="shared" si="2"/>
        <v/>
      </c>
      <c r="P14" s="107" t="e">
        <f t="shared" si="2"/>
        <v>#N/A</v>
      </c>
    </row>
    <row r="15" spans="2:16" x14ac:dyDescent="0.25">
      <c r="B15" s="202" t="s">
        <v>99</v>
      </c>
      <c r="C15" s="131" t="s">
        <v>31</v>
      </c>
      <c r="D15" s="132" t="str">
        <f t="shared" ref="D15:P15" si="3">IF(OR($D$3&gt;D12,AND($D$4&lt;D11,$D$4&lt;&gt;0)),"",MIN(D12,$D$4))</f>
        <v/>
      </c>
      <c r="E15" s="132" t="str">
        <f t="shared" si="3"/>
        <v/>
      </c>
      <c r="F15" s="132" t="str">
        <f t="shared" si="3"/>
        <v/>
      </c>
      <c r="G15" s="132" t="str">
        <f t="shared" si="3"/>
        <v/>
      </c>
      <c r="H15" s="132" t="str">
        <f t="shared" si="3"/>
        <v/>
      </c>
      <c r="I15" s="132" t="str">
        <f t="shared" si="3"/>
        <v/>
      </c>
      <c r="J15" s="132" t="str">
        <f t="shared" si="3"/>
        <v/>
      </c>
      <c r="K15" s="132" t="str">
        <f t="shared" si="3"/>
        <v/>
      </c>
      <c r="L15" s="132" t="str">
        <f t="shared" si="3"/>
        <v/>
      </c>
      <c r="M15" s="132" t="str">
        <f t="shared" si="3"/>
        <v/>
      </c>
      <c r="N15" s="132" t="str">
        <f t="shared" si="3"/>
        <v/>
      </c>
      <c r="O15" s="132" t="str">
        <f t="shared" si="3"/>
        <v/>
      </c>
      <c r="P15" s="107" t="e">
        <f t="shared" si="3"/>
        <v>#N/A</v>
      </c>
    </row>
    <row r="16" spans="2:16" x14ac:dyDescent="0.25">
      <c r="B16" s="202"/>
      <c r="C16" s="128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08"/>
    </row>
    <row r="17" spans="2:16" x14ac:dyDescent="0.25">
      <c r="B17" s="15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09"/>
    </row>
    <row r="18" spans="2:16" x14ac:dyDescent="0.25">
      <c r="B18" s="130" t="s">
        <v>95</v>
      </c>
      <c r="C18" s="131" t="s">
        <v>32</v>
      </c>
      <c r="D18" s="110">
        <v>70000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</row>
    <row r="19" spans="2:16" x14ac:dyDescent="0.25">
      <c r="B19" s="130" t="s">
        <v>92</v>
      </c>
      <c r="C19" s="131" t="str">
        <f>IF(P5="dagen","Gewerkte dagen","Verloonde uren regeling")</f>
        <v>Verloonde uren regeling</v>
      </c>
      <c r="D19" s="9">
        <v>173.333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25">
      <c r="B20" s="133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40"/>
    </row>
    <row r="21" spans="2:16" x14ac:dyDescent="0.25">
      <c r="B21" s="130"/>
      <c r="C21" s="130" t="s">
        <v>37</v>
      </c>
      <c r="D21" s="141">
        <f>SUM($D18:D18)</f>
        <v>70000</v>
      </c>
      <c r="E21" s="141">
        <f>SUM($D18:E18)</f>
        <v>70000</v>
      </c>
      <c r="F21" s="141">
        <f>SUM($D18:F18)</f>
        <v>70000</v>
      </c>
      <c r="G21" s="141">
        <f>SUM($D18:G18)</f>
        <v>70000</v>
      </c>
      <c r="H21" s="141">
        <f>SUM($D18:H18)</f>
        <v>70000</v>
      </c>
      <c r="I21" s="141">
        <f>SUM($D18:I18)</f>
        <v>70000</v>
      </c>
      <c r="J21" s="141">
        <f>SUM($D18:J18)</f>
        <v>70000</v>
      </c>
      <c r="K21" s="141">
        <f>SUM($D18:K18)</f>
        <v>70000</v>
      </c>
      <c r="L21" s="141">
        <f>SUM($D18:L18)</f>
        <v>70000</v>
      </c>
      <c r="M21" s="141">
        <f>SUM($D18:M18)</f>
        <v>70000</v>
      </c>
      <c r="N21" s="141">
        <f>SUM($D18:N18)</f>
        <v>70000</v>
      </c>
      <c r="O21" s="141">
        <f>SUM($D18:O18)</f>
        <v>70000</v>
      </c>
      <c r="P21" s="141">
        <f>SUM($D18:P18)</f>
        <v>70000</v>
      </c>
    </row>
    <row r="22" spans="2:16" x14ac:dyDescent="0.25">
      <c r="B22" s="130"/>
      <c r="C22" s="130" t="str">
        <f>IF(P5="dagen","Cumulatieve gewerkte dagen","Cumultieve verloonde uren")</f>
        <v>Cumultieve verloonde uren</v>
      </c>
      <c r="D22" s="130">
        <f>MIN(SUM($D19:D19),ASFMaxDuur)</f>
        <v>173.333</v>
      </c>
      <c r="E22" s="130">
        <f>MIN(SUM($D19:E19),ASFMaxDuur)</f>
        <v>173.333</v>
      </c>
      <c r="F22" s="130">
        <f>MIN(SUM($D19:F19),ASFMaxDuur)</f>
        <v>173.333</v>
      </c>
      <c r="G22" s="130">
        <f>MIN(SUM($D19:G19),ASFMaxDuur)</f>
        <v>173.333</v>
      </c>
      <c r="H22" s="130">
        <f>MIN(SUM($D19:H19),ASFMaxDuur)</f>
        <v>173.333</v>
      </c>
      <c r="I22" s="130">
        <f>MIN(SUM($D19:I19),ASFMaxDuur)</f>
        <v>173.333</v>
      </c>
      <c r="J22" s="130">
        <f>MIN(SUM($D19:J19),ASFMaxDuur)</f>
        <v>173.333</v>
      </c>
      <c r="K22" s="130">
        <f>MIN(SUM($D19:K19),ASFMaxDuur)</f>
        <v>173.333</v>
      </c>
      <c r="L22" s="130">
        <f>MIN(SUM($D19:L19),ASFMaxDuur)</f>
        <v>173.333</v>
      </c>
      <c r="M22" s="130">
        <f>MIN(SUM($D19:M19),ASFMaxDuur)</f>
        <v>173.333</v>
      </c>
      <c r="N22" s="130">
        <f>MIN(SUM($D19:N19),ASFMaxDuur)</f>
        <v>173.333</v>
      </c>
      <c r="O22" s="130">
        <f>MIN(SUM($D19:O19),ASFMaxDuur)</f>
        <v>173.333</v>
      </c>
      <c r="P22" s="130">
        <f>MIN(SUM($D19:P19),ASFMaxDuur)</f>
        <v>173.333</v>
      </c>
    </row>
    <row r="23" spans="2:16" x14ac:dyDescent="0.25">
      <c r="B23" s="133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37"/>
    </row>
    <row r="24" spans="2:16" x14ac:dyDescent="0.25">
      <c r="B24" s="130"/>
      <c r="C24" s="130" t="s">
        <v>112</v>
      </c>
      <c r="D24" s="141">
        <f t="shared" ref="D24:P24" si="4">ASFFranchise/ASFMaxDuur*D19</f>
        <v>0</v>
      </c>
      <c r="E24" s="141">
        <f t="shared" si="4"/>
        <v>0</v>
      </c>
      <c r="F24" s="141">
        <f t="shared" si="4"/>
        <v>0</v>
      </c>
      <c r="G24" s="141">
        <f t="shared" si="4"/>
        <v>0</v>
      </c>
      <c r="H24" s="141">
        <f t="shared" si="4"/>
        <v>0</v>
      </c>
      <c r="I24" s="141">
        <f t="shared" si="4"/>
        <v>0</v>
      </c>
      <c r="J24" s="141">
        <f t="shared" si="4"/>
        <v>0</v>
      </c>
      <c r="K24" s="141">
        <f t="shared" si="4"/>
        <v>0</v>
      </c>
      <c r="L24" s="141">
        <f t="shared" si="4"/>
        <v>0</v>
      </c>
      <c r="M24" s="141">
        <f t="shared" si="4"/>
        <v>0</v>
      </c>
      <c r="N24" s="141">
        <f t="shared" si="4"/>
        <v>0</v>
      </c>
      <c r="O24" s="141">
        <f t="shared" si="4"/>
        <v>0</v>
      </c>
      <c r="P24" s="141">
        <f t="shared" si="4"/>
        <v>0</v>
      </c>
    </row>
    <row r="25" spans="2:16" x14ac:dyDescent="0.25">
      <c r="B25" s="130"/>
      <c r="C25" s="130" t="s">
        <v>113</v>
      </c>
      <c r="D25" s="141">
        <f t="shared" ref="D25:P25" si="5">ASFFranchise/ASFMaxDuur*D22</f>
        <v>0</v>
      </c>
      <c r="E25" s="141">
        <f t="shared" si="5"/>
        <v>0</v>
      </c>
      <c r="F25" s="141">
        <f t="shared" si="5"/>
        <v>0</v>
      </c>
      <c r="G25" s="141">
        <f t="shared" si="5"/>
        <v>0</v>
      </c>
      <c r="H25" s="141">
        <f t="shared" si="5"/>
        <v>0</v>
      </c>
      <c r="I25" s="141">
        <f t="shared" si="5"/>
        <v>0</v>
      </c>
      <c r="J25" s="141">
        <f t="shared" si="5"/>
        <v>0</v>
      </c>
      <c r="K25" s="141">
        <f t="shared" si="5"/>
        <v>0</v>
      </c>
      <c r="L25" s="141">
        <f t="shared" si="5"/>
        <v>0</v>
      </c>
      <c r="M25" s="141">
        <f t="shared" si="5"/>
        <v>0</v>
      </c>
      <c r="N25" s="141">
        <f t="shared" si="5"/>
        <v>0</v>
      </c>
      <c r="O25" s="141">
        <f t="shared" si="5"/>
        <v>0</v>
      </c>
      <c r="P25" s="141">
        <f t="shared" si="5"/>
        <v>0</v>
      </c>
    </row>
    <row r="26" spans="2:16" x14ac:dyDescent="0.25">
      <c r="B26" s="133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37"/>
    </row>
    <row r="27" spans="2:16" x14ac:dyDescent="0.25">
      <c r="B27" s="130"/>
      <c r="C27" s="130" t="s">
        <v>114</v>
      </c>
      <c r="D27" s="141">
        <f t="shared" ref="D27:P27" si="6">ASFMaxLoon/ASFMaxDuur*D19</f>
        <v>6321.9878423076925</v>
      </c>
      <c r="E27" s="141">
        <f t="shared" si="6"/>
        <v>0</v>
      </c>
      <c r="F27" s="141">
        <f t="shared" si="6"/>
        <v>0</v>
      </c>
      <c r="G27" s="141">
        <f t="shared" si="6"/>
        <v>0</v>
      </c>
      <c r="H27" s="141">
        <f t="shared" si="6"/>
        <v>0</v>
      </c>
      <c r="I27" s="141">
        <f t="shared" si="6"/>
        <v>0</v>
      </c>
      <c r="J27" s="141">
        <f t="shared" si="6"/>
        <v>0</v>
      </c>
      <c r="K27" s="141">
        <f t="shared" si="6"/>
        <v>0</v>
      </c>
      <c r="L27" s="141">
        <f t="shared" si="6"/>
        <v>0</v>
      </c>
      <c r="M27" s="141">
        <f t="shared" si="6"/>
        <v>0</v>
      </c>
      <c r="N27" s="141">
        <f t="shared" si="6"/>
        <v>0</v>
      </c>
      <c r="O27" s="141">
        <f t="shared" si="6"/>
        <v>0</v>
      </c>
      <c r="P27" s="141">
        <f t="shared" si="6"/>
        <v>0</v>
      </c>
    </row>
    <row r="28" spans="2:16" x14ac:dyDescent="0.25">
      <c r="B28" s="130"/>
      <c r="C28" s="130" t="s">
        <v>115</v>
      </c>
      <c r="D28" s="141">
        <f t="shared" ref="D28:P28" si="7">ASFMaxLoon/ASFMaxDuur*D22</f>
        <v>6321.9878423076925</v>
      </c>
      <c r="E28" s="141">
        <f t="shared" si="7"/>
        <v>6321.9878423076925</v>
      </c>
      <c r="F28" s="141">
        <f t="shared" si="7"/>
        <v>6321.9878423076925</v>
      </c>
      <c r="G28" s="141">
        <f t="shared" si="7"/>
        <v>6321.9878423076925</v>
      </c>
      <c r="H28" s="141">
        <f t="shared" si="7"/>
        <v>6321.9878423076925</v>
      </c>
      <c r="I28" s="141">
        <f t="shared" si="7"/>
        <v>6321.9878423076925</v>
      </c>
      <c r="J28" s="141">
        <f t="shared" si="7"/>
        <v>6321.9878423076925</v>
      </c>
      <c r="K28" s="141">
        <f t="shared" si="7"/>
        <v>6321.9878423076925</v>
      </c>
      <c r="L28" s="141">
        <f t="shared" si="7"/>
        <v>6321.9878423076925</v>
      </c>
      <c r="M28" s="141">
        <f t="shared" si="7"/>
        <v>6321.9878423076925</v>
      </c>
      <c r="N28" s="141">
        <f t="shared" si="7"/>
        <v>6321.9878423076925</v>
      </c>
      <c r="O28" s="141">
        <f t="shared" si="7"/>
        <v>6321.9878423076925</v>
      </c>
      <c r="P28" s="141">
        <f t="shared" si="7"/>
        <v>6321.9878423076925</v>
      </c>
    </row>
    <row r="29" spans="2:16" x14ac:dyDescent="0.25">
      <c r="B29" s="133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37"/>
    </row>
    <row r="30" spans="2:16" x14ac:dyDescent="0.25">
      <c r="B30" s="130"/>
      <c r="C30" s="130" t="s">
        <v>116</v>
      </c>
      <c r="D30" s="141">
        <f>MAX(MIN(D21,D28)-D25,0)</f>
        <v>6321.9878423076925</v>
      </c>
      <c r="E30" s="141">
        <f t="shared" ref="E30:P30" si="8">MAX(MIN(E21,E28)-E25,0)</f>
        <v>6321.9878423076925</v>
      </c>
      <c r="F30" s="141">
        <f t="shared" si="8"/>
        <v>6321.9878423076925</v>
      </c>
      <c r="G30" s="141">
        <f t="shared" si="8"/>
        <v>6321.9878423076925</v>
      </c>
      <c r="H30" s="141">
        <f t="shared" si="8"/>
        <v>6321.9878423076925</v>
      </c>
      <c r="I30" s="141">
        <f t="shared" si="8"/>
        <v>6321.9878423076925</v>
      </c>
      <c r="J30" s="141">
        <f t="shared" si="8"/>
        <v>6321.9878423076925</v>
      </c>
      <c r="K30" s="141">
        <f t="shared" si="8"/>
        <v>6321.9878423076925</v>
      </c>
      <c r="L30" s="141">
        <f t="shared" si="8"/>
        <v>6321.9878423076925</v>
      </c>
      <c r="M30" s="141">
        <f t="shared" si="8"/>
        <v>6321.9878423076925</v>
      </c>
      <c r="N30" s="141">
        <f t="shared" si="8"/>
        <v>6321.9878423076925</v>
      </c>
      <c r="O30" s="141">
        <f t="shared" si="8"/>
        <v>6321.9878423076925</v>
      </c>
      <c r="P30" s="141">
        <f t="shared" si="8"/>
        <v>6321.9878423076925</v>
      </c>
    </row>
    <row r="31" spans="2:16" x14ac:dyDescent="0.25">
      <c r="B31" s="130"/>
      <c r="C31" s="128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3"/>
    </row>
    <row r="32" spans="2:16" x14ac:dyDescent="0.25">
      <c r="B32" s="130" t="s">
        <v>93</v>
      </c>
      <c r="C32" s="131" t="s">
        <v>39</v>
      </c>
      <c r="D32" s="141">
        <f>D30</f>
        <v>6321.9878423076925</v>
      </c>
      <c r="E32" s="141">
        <f>E30-D30</f>
        <v>0</v>
      </c>
      <c r="F32" s="141">
        <f t="shared" ref="F32:P32" si="9">F30-E30</f>
        <v>0</v>
      </c>
      <c r="G32" s="141">
        <f t="shared" si="9"/>
        <v>0</v>
      </c>
      <c r="H32" s="141">
        <f t="shared" si="9"/>
        <v>0</v>
      </c>
      <c r="I32" s="141">
        <f t="shared" si="9"/>
        <v>0</v>
      </c>
      <c r="J32" s="141">
        <f t="shared" si="9"/>
        <v>0</v>
      </c>
      <c r="K32" s="141">
        <f t="shared" si="9"/>
        <v>0</v>
      </c>
      <c r="L32" s="141">
        <f t="shared" si="9"/>
        <v>0</v>
      </c>
      <c r="M32" s="141">
        <f t="shared" si="9"/>
        <v>0</v>
      </c>
      <c r="N32" s="141">
        <f t="shared" si="9"/>
        <v>0</v>
      </c>
      <c r="O32" s="141">
        <f t="shared" si="9"/>
        <v>0</v>
      </c>
      <c r="P32" s="141">
        <f t="shared" si="9"/>
        <v>0</v>
      </c>
    </row>
    <row r="33" spans="2:16" x14ac:dyDescent="0.25">
      <c r="B33" s="130" t="s">
        <v>94</v>
      </c>
      <c r="C33" s="131" t="s">
        <v>38</v>
      </c>
      <c r="D33" s="141">
        <f t="shared" ref="D33:P33" si="10">ROUND(D32*ASFPremiePercentage,2)</f>
        <v>12.64</v>
      </c>
      <c r="E33" s="141">
        <f t="shared" si="10"/>
        <v>0</v>
      </c>
      <c r="F33" s="141">
        <f t="shared" si="10"/>
        <v>0</v>
      </c>
      <c r="G33" s="141">
        <f t="shared" si="10"/>
        <v>0</v>
      </c>
      <c r="H33" s="141">
        <f t="shared" si="10"/>
        <v>0</v>
      </c>
      <c r="I33" s="141">
        <f t="shared" si="10"/>
        <v>0</v>
      </c>
      <c r="J33" s="141">
        <f t="shared" si="10"/>
        <v>0</v>
      </c>
      <c r="K33" s="141">
        <f t="shared" si="10"/>
        <v>0</v>
      </c>
      <c r="L33" s="141">
        <f t="shared" si="10"/>
        <v>0</v>
      </c>
      <c r="M33" s="141">
        <f t="shared" si="10"/>
        <v>0</v>
      </c>
      <c r="N33" s="141">
        <f t="shared" si="10"/>
        <v>0</v>
      </c>
      <c r="O33" s="141">
        <f t="shared" si="10"/>
        <v>0</v>
      </c>
      <c r="P33" s="141">
        <f t="shared" si="10"/>
        <v>0</v>
      </c>
    </row>
    <row r="34" spans="2:16" x14ac:dyDescent="0.25">
      <c r="C34" s="130" t="s">
        <v>40</v>
      </c>
      <c r="D34" s="141">
        <f>SUM($D33:D33)</f>
        <v>12.64</v>
      </c>
      <c r="E34" s="141">
        <f>SUM($D33:E33)</f>
        <v>12.64</v>
      </c>
      <c r="F34" s="141">
        <f>SUM($D33:F33)</f>
        <v>12.64</v>
      </c>
      <c r="G34" s="141">
        <f>SUM($D33:G33)</f>
        <v>12.64</v>
      </c>
      <c r="H34" s="141">
        <f>SUM($D33:H33)</f>
        <v>12.64</v>
      </c>
      <c r="I34" s="141">
        <f>SUM($D33:I33)</f>
        <v>12.64</v>
      </c>
      <c r="J34" s="141">
        <f>SUM($D33:J33)</f>
        <v>12.64</v>
      </c>
      <c r="K34" s="141">
        <f>SUM($D33:K33)</f>
        <v>12.64</v>
      </c>
      <c r="L34" s="141">
        <f>SUM($D33:L33)</f>
        <v>12.64</v>
      </c>
      <c r="M34" s="141">
        <f>SUM($D33:M33)</f>
        <v>12.64</v>
      </c>
      <c r="N34" s="141">
        <f>SUM($D33:N33)</f>
        <v>12.64</v>
      </c>
      <c r="O34" s="141">
        <f>SUM($D33:O33)</f>
        <v>12.64</v>
      </c>
      <c r="P34" s="141">
        <f>SUM($D33:P33)</f>
        <v>12.64</v>
      </c>
    </row>
    <row r="35" spans="2:16" x14ac:dyDescent="0.2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98"/>
    </row>
    <row r="36" spans="2:16" x14ac:dyDescent="0.25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98"/>
    </row>
    <row r="37" spans="2:16" x14ac:dyDescent="0.25">
      <c r="B37" s="128"/>
      <c r="C37" s="207" t="s">
        <v>243</v>
      </c>
      <c r="D37" s="207"/>
      <c r="E37" s="207"/>
      <c r="F37" s="207"/>
      <c r="G37" s="207"/>
      <c r="H37" s="207"/>
      <c r="I37" s="128"/>
      <c r="J37" s="128"/>
      <c r="K37" s="128"/>
      <c r="L37" s="128"/>
      <c r="M37" s="172"/>
      <c r="N37" s="203" t="s">
        <v>83</v>
      </c>
      <c r="O37" s="203"/>
      <c r="P37" s="98"/>
    </row>
    <row r="38" spans="2:16" x14ac:dyDescent="0.25">
      <c r="B38" s="128"/>
      <c r="C38" s="164" t="s">
        <v>234</v>
      </c>
      <c r="D38" s="12">
        <v>22825</v>
      </c>
      <c r="E38" s="204" t="s">
        <v>268</v>
      </c>
      <c r="F38" s="204"/>
      <c r="G38" s="204"/>
      <c r="H38" s="167">
        <f>IF(D38="","",IF(DATE(YEAR(H39),MONTH(D38),DAY(D38))&lt;=H39,YEAR(H39)-YEAR(D38),YEAR(H39)-YEAR(D38)-1))</f>
        <v>62</v>
      </c>
      <c r="I38" s="128"/>
      <c r="J38" s="128"/>
      <c r="K38" s="128"/>
      <c r="L38" s="128"/>
      <c r="M38" s="173"/>
      <c r="N38" s="205" t="s">
        <v>84</v>
      </c>
      <c r="O38" s="205"/>
      <c r="P38" s="98"/>
    </row>
    <row r="39" spans="2:16" x14ac:dyDescent="0.25">
      <c r="B39" s="128"/>
      <c r="C39" s="138"/>
      <c r="D39" s="139"/>
      <c r="E39" s="139"/>
      <c r="F39" s="165"/>
      <c r="G39" s="165"/>
      <c r="H39" s="166">
        <f>MAX(D11,D3)</f>
        <v>45658</v>
      </c>
      <c r="I39" s="128"/>
      <c r="J39" s="128"/>
      <c r="K39" s="128"/>
      <c r="L39" s="128"/>
      <c r="M39" s="128"/>
      <c r="N39" s="128"/>
      <c r="O39" s="128"/>
      <c r="P39" s="98"/>
    </row>
  </sheetData>
  <sheetProtection algorithmName="SHA-512" hashValue="hx6uMNxm+UOHA/S5YZrgFYesw3rT9RKd7mZv9W6WkgB87aIidTvfKoSMrGYiNIvmxhPi/FbnEl011H8Auhjt0A==" saltValue="6y+p2uWHlV+a91UaX/mdKA==" spinCount="100000" sheet="1" objects="1" scenarios="1"/>
  <mergeCells count="11">
    <mergeCell ref="C2:D2"/>
    <mergeCell ref="F2:M2"/>
    <mergeCell ref="F3:H3"/>
    <mergeCell ref="I3:M7"/>
    <mergeCell ref="F4:G4"/>
    <mergeCell ref="C6:D7"/>
    <mergeCell ref="B15:B16"/>
    <mergeCell ref="C37:H37"/>
    <mergeCell ref="N37:O37"/>
    <mergeCell ref="E38:G38"/>
    <mergeCell ref="N38:O38"/>
  </mergeCells>
  <conditionalFormatting sqref="C6:D7">
    <cfRule type="notContainsBlanks" dxfId="11" priority="14">
      <formula>LEN(TRIM(C6))&gt;0</formula>
    </cfRule>
  </conditionalFormatting>
  <conditionalFormatting sqref="C37:K39">
    <cfRule type="expression" dxfId="10" priority="5">
      <formula>$E$7&lt;&gt;"staffel"</formula>
    </cfRule>
  </conditionalFormatting>
  <conditionalFormatting sqref="D15:P15">
    <cfRule type="cellIs" dxfId="9" priority="12" operator="notEqual">
      <formula>$D$4</formula>
    </cfRule>
  </conditionalFormatting>
  <conditionalFormatting sqref="D18:P19">
    <cfRule type="expression" dxfId="8" priority="1">
      <formula>AND(D14="",D18&lt;&gt;"")</formula>
    </cfRule>
    <cfRule type="expression" dxfId="7" priority="2">
      <formula>AND(D14="",D18="")</formula>
    </cfRule>
  </conditionalFormatting>
  <conditionalFormatting sqref="F4:H4">
    <cfRule type="expression" dxfId="6" priority="8">
      <formula>OR($E$3="Nee",$E$3="N.v.t.")</formula>
    </cfRule>
  </conditionalFormatting>
  <conditionalFormatting sqref="G5:G7">
    <cfRule type="expression" dxfId="5" priority="7">
      <formula>OR(UPWGafw="Ja",E5="ovk")</formula>
    </cfRule>
  </conditionalFormatting>
  <conditionalFormatting sqref="G7">
    <cfRule type="expression" dxfId="4" priority="6">
      <formula>$E$7="staffel"</formula>
    </cfRule>
  </conditionalFormatting>
  <conditionalFormatting sqref="H5:H7">
    <cfRule type="expression" dxfId="3" priority="10">
      <formula>OR(UPWGafw="Ja",E5="ovk")</formula>
    </cfRule>
  </conditionalFormatting>
  <conditionalFormatting sqref="H7">
    <cfRule type="expression" dxfId="2" priority="9">
      <formula>$E$7="staffel"</formula>
    </cfRule>
  </conditionalFormatting>
  <conditionalFormatting sqref="P10:P17">
    <cfRule type="expression" dxfId="1" priority="13">
      <formula>$P$7=12</formula>
    </cfRule>
  </conditionalFormatting>
  <conditionalFormatting sqref="P18:P34">
    <cfRule type="expression" dxfId="0" priority="3">
      <formula>$P$7=12</formula>
    </cfRule>
  </conditionalFormatting>
  <dataValidations count="3">
    <dataValidation type="list" allowBlank="1" showInputMessage="1" showErrorMessage="1" sqref="F3:H3" xr:uid="{04E550DF-95E9-4F02-86C4-58E087067C62}">
      <formula1>RegUltimoASF</formula1>
    </dataValidation>
    <dataValidation type="list" allowBlank="1" showInputMessage="1" showErrorMessage="1" sqref="H4" xr:uid="{61608A50-2CF4-4E50-A08E-231A8BE535A5}">
      <formula1>"Ja,Nee"</formula1>
    </dataValidation>
    <dataValidation type="list" allowBlank="1" showInputMessage="1" showErrorMessage="1" sqref="P3" xr:uid="{B99D5206-704E-4C30-B7FB-E9D16DCF069E}">
      <formula1>"Maandelijks,4-wekelijks"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>
    <tabColor rgb="FFB6D5E4"/>
  </sheetPr>
  <dimension ref="A1:D26"/>
  <sheetViews>
    <sheetView topLeftCell="B1" workbookViewId="0">
      <selection activeCell="I12" sqref="I12"/>
    </sheetView>
  </sheetViews>
  <sheetFormatPr defaultColWidth="9.28515625" defaultRowHeight="15" x14ac:dyDescent="0.25"/>
  <cols>
    <col min="1" max="1" width="13.7109375" style="4" hidden="1" customWidth="1"/>
    <col min="2" max="2" width="13.5703125" style="4" customWidth="1"/>
    <col min="3" max="3" width="14.42578125" style="4" customWidth="1"/>
    <col min="4" max="4" width="18.42578125" style="4" customWidth="1"/>
    <col min="5" max="16384" width="9.28515625" style="4"/>
  </cols>
  <sheetData>
    <row r="1" spans="1:4" s="1" customFormat="1" x14ac:dyDescent="0.25">
      <c r="A1" s="43" t="s">
        <v>285</v>
      </c>
      <c r="B1" s="41" t="s">
        <v>0</v>
      </c>
      <c r="C1" s="41" t="s">
        <v>1</v>
      </c>
      <c r="D1" s="42" t="s">
        <v>2</v>
      </c>
    </row>
    <row r="2" spans="1:4" x14ac:dyDescent="0.25">
      <c r="A2" s="35" t="s">
        <v>41</v>
      </c>
      <c r="B2" s="2" t="s">
        <v>5</v>
      </c>
      <c r="C2" s="3">
        <v>45658</v>
      </c>
      <c r="D2" s="36">
        <v>45688</v>
      </c>
    </row>
    <row r="3" spans="1:4" x14ac:dyDescent="0.25">
      <c r="A3" s="35" t="s">
        <v>42</v>
      </c>
      <c r="B3" s="2" t="s">
        <v>6</v>
      </c>
      <c r="C3" s="3">
        <v>45689</v>
      </c>
      <c r="D3" s="36">
        <v>45716</v>
      </c>
    </row>
    <row r="4" spans="1:4" x14ac:dyDescent="0.25">
      <c r="A4" s="35" t="s">
        <v>43</v>
      </c>
      <c r="B4" s="2" t="s">
        <v>7</v>
      </c>
      <c r="C4" s="3">
        <v>45717</v>
      </c>
      <c r="D4" s="36">
        <v>45747</v>
      </c>
    </row>
    <row r="5" spans="1:4" x14ac:dyDescent="0.25">
      <c r="A5" s="35" t="s">
        <v>44</v>
      </c>
      <c r="B5" s="2" t="s">
        <v>8</v>
      </c>
      <c r="C5" s="3">
        <v>45748</v>
      </c>
      <c r="D5" s="36">
        <v>45777</v>
      </c>
    </row>
    <row r="6" spans="1:4" x14ac:dyDescent="0.25">
      <c r="A6" s="35" t="s">
        <v>45</v>
      </c>
      <c r="B6" s="2" t="s">
        <v>9</v>
      </c>
      <c r="C6" s="3">
        <v>45778</v>
      </c>
      <c r="D6" s="36">
        <v>45808</v>
      </c>
    </row>
    <row r="7" spans="1:4" x14ac:dyDescent="0.25">
      <c r="A7" s="35" t="s">
        <v>46</v>
      </c>
      <c r="B7" s="2" t="s">
        <v>10</v>
      </c>
      <c r="C7" s="3">
        <v>45809</v>
      </c>
      <c r="D7" s="36">
        <v>45838</v>
      </c>
    </row>
    <row r="8" spans="1:4" x14ac:dyDescent="0.25">
      <c r="A8" s="35" t="s">
        <v>47</v>
      </c>
      <c r="B8" s="2" t="s">
        <v>11</v>
      </c>
      <c r="C8" s="3">
        <v>45839</v>
      </c>
      <c r="D8" s="36">
        <v>45869</v>
      </c>
    </row>
    <row r="9" spans="1:4" x14ac:dyDescent="0.25">
      <c r="A9" s="35" t="s">
        <v>48</v>
      </c>
      <c r="B9" s="2" t="s">
        <v>12</v>
      </c>
      <c r="C9" s="3">
        <v>45870</v>
      </c>
      <c r="D9" s="36">
        <v>45900</v>
      </c>
    </row>
    <row r="10" spans="1:4" x14ac:dyDescent="0.25">
      <c r="A10" s="35" t="s">
        <v>49</v>
      </c>
      <c r="B10" s="2" t="s">
        <v>13</v>
      </c>
      <c r="C10" s="3">
        <v>45901</v>
      </c>
      <c r="D10" s="36">
        <v>45930</v>
      </c>
    </row>
    <row r="11" spans="1:4" x14ac:dyDescent="0.25">
      <c r="A11" s="35" t="s">
        <v>50</v>
      </c>
      <c r="B11" s="2" t="s">
        <v>14</v>
      </c>
      <c r="C11" s="3">
        <v>45931</v>
      </c>
      <c r="D11" s="36">
        <v>45961</v>
      </c>
    </row>
    <row r="12" spans="1:4" x14ac:dyDescent="0.25">
      <c r="A12" s="35" t="s">
        <v>51</v>
      </c>
      <c r="B12" s="2" t="s">
        <v>15</v>
      </c>
      <c r="C12" s="3">
        <v>45962</v>
      </c>
      <c r="D12" s="36">
        <v>45991</v>
      </c>
    </row>
    <row r="13" spans="1:4" x14ac:dyDescent="0.25">
      <c r="A13" s="35" t="s">
        <v>52</v>
      </c>
      <c r="B13" s="2" t="s">
        <v>16</v>
      </c>
      <c r="C13" s="3">
        <v>45992</v>
      </c>
      <c r="D13" s="36">
        <v>46022</v>
      </c>
    </row>
    <row r="14" spans="1:4" x14ac:dyDescent="0.25">
      <c r="A14" s="35" t="s">
        <v>53</v>
      </c>
      <c r="B14" s="2" t="s">
        <v>17</v>
      </c>
      <c r="C14" s="3">
        <v>45658</v>
      </c>
      <c r="D14" s="36">
        <v>45683</v>
      </c>
    </row>
    <row r="15" spans="1:4" x14ac:dyDescent="0.25">
      <c r="A15" s="35" t="s">
        <v>54</v>
      </c>
      <c r="B15" s="2" t="s">
        <v>18</v>
      </c>
      <c r="C15" s="3">
        <v>45684</v>
      </c>
      <c r="D15" s="36">
        <v>45711</v>
      </c>
    </row>
    <row r="16" spans="1:4" x14ac:dyDescent="0.25">
      <c r="A16" s="35" t="s">
        <v>55</v>
      </c>
      <c r="B16" s="2" t="s">
        <v>19</v>
      </c>
      <c r="C16" s="3">
        <v>45712</v>
      </c>
      <c r="D16" s="36">
        <v>45739</v>
      </c>
    </row>
    <row r="17" spans="1:4" x14ac:dyDescent="0.25">
      <c r="A17" s="35" t="s">
        <v>56</v>
      </c>
      <c r="B17" s="2" t="s">
        <v>20</v>
      </c>
      <c r="C17" s="3">
        <v>45740</v>
      </c>
      <c r="D17" s="36">
        <v>45767</v>
      </c>
    </row>
    <row r="18" spans="1:4" x14ac:dyDescent="0.25">
      <c r="A18" s="35" t="s">
        <v>57</v>
      </c>
      <c r="B18" s="2" t="s">
        <v>21</v>
      </c>
      <c r="C18" s="3">
        <v>45768</v>
      </c>
      <c r="D18" s="36">
        <v>45795</v>
      </c>
    </row>
    <row r="19" spans="1:4" x14ac:dyDescent="0.25">
      <c r="A19" s="35" t="s">
        <v>58</v>
      </c>
      <c r="B19" s="2" t="s">
        <v>22</v>
      </c>
      <c r="C19" s="3">
        <v>45796</v>
      </c>
      <c r="D19" s="36">
        <v>45823</v>
      </c>
    </row>
    <row r="20" spans="1:4" x14ac:dyDescent="0.25">
      <c r="A20" s="35" t="s">
        <v>59</v>
      </c>
      <c r="B20" s="2" t="s">
        <v>23</v>
      </c>
      <c r="C20" s="3">
        <v>45824</v>
      </c>
      <c r="D20" s="36">
        <v>45851</v>
      </c>
    </row>
    <row r="21" spans="1:4" x14ac:dyDescent="0.25">
      <c r="A21" s="35" t="s">
        <v>60</v>
      </c>
      <c r="B21" s="2" t="s">
        <v>24</v>
      </c>
      <c r="C21" s="3">
        <v>45852</v>
      </c>
      <c r="D21" s="36">
        <v>45879</v>
      </c>
    </row>
    <row r="22" spans="1:4" x14ac:dyDescent="0.25">
      <c r="A22" s="35" t="s">
        <v>61</v>
      </c>
      <c r="B22" s="2" t="s">
        <v>25</v>
      </c>
      <c r="C22" s="3">
        <v>45880</v>
      </c>
      <c r="D22" s="36">
        <v>45907</v>
      </c>
    </row>
    <row r="23" spans="1:4" x14ac:dyDescent="0.25">
      <c r="A23" s="35" t="s">
        <v>62</v>
      </c>
      <c r="B23" s="2" t="s">
        <v>26</v>
      </c>
      <c r="C23" s="3">
        <v>45908</v>
      </c>
      <c r="D23" s="36">
        <v>45935</v>
      </c>
    </row>
    <row r="24" spans="1:4" x14ac:dyDescent="0.25">
      <c r="A24" s="35" t="s">
        <v>63</v>
      </c>
      <c r="B24" s="2" t="s">
        <v>27</v>
      </c>
      <c r="C24" s="3">
        <v>45936</v>
      </c>
      <c r="D24" s="36">
        <v>45963</v>
      </c>
    </row>
    <row r="25" spans="1:4" x14ac:dyDescent="0.25">
      <c r="A25" s="35" t="s">
        <v>64</v>
      </c>
      <c r="B25" s="2" t="s">
        <v>28</v>
      </c>
      <c r="C25" s="3">
        <v>45964</v>
      </c>
      <c r="D25" s="36">
        <v>45991</v>
      </c>
    </row>
    <row r="26" spans="1:4" x14ac:dyDescent="0.25">
      <c r="A26" s="37" t="s">
        <v>65</v>
      </c>
      <c r="B26" s="38" t="s">
        <v>29</v>
      </c>
      <c r="C26" s="39">
        <v>45992</v>
      </c>
      <c r="D26" s="40">
        <v>46022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6D5E4"/>
  </sheetPr>
  <dimension ref="A1:M76"/>
  <sheetViews>
    <sheetView topLeftCell="D1" zoomScale="99" zoomScaleNormal="99" workbookViewId="0">
      <pane ySplit="1" topLeftCell="A15" activePane="bottomLeft" state="frozen"/>
      <selection pane="bottomLeft" activeCell="J27" sqref="J27"/>
    </sheetView>
  </sheetViews>
  <sheetFormatPr defaultColWidth="9.28515625" defaultRowHeight="15" x14ac:dyDescent="0.25"/>
  <cols>
    <col min="1" max="1" width="41.42578125" customWidth="1"/>
    <col min="2" max="2" width="27.7109375" bestFit="1" customWidth="1"/>
    <col min="3" max="3" width="54.7109375" style="5" customWidth="1"/>
    <col min="4" max="4" width="17.42578125" customWidth="1"/>
    <col min="5" max="5" width="13" customWidth="1"/>
    <col min="6" max="6" width="52" customWidth="1"/>
    <col min="7" max="7" width="34.7109375" customWidth="1"/>
    <col min="8" max="10" width="17.42578125" customWidth="1"/>
    <col min="11" max="12" width="16.5703125" customWidth="1"/>
    <col min="13" max="13" width="35.5703125" customWidth="1"/>
  </cols>
  <sheetData>
    <row r="1" spans="1:13" ht="38.25" x14ac:dyDescent="0.25">
      <c r="A1" s="45" t="s">
        <v>329</v>
      </c>
      <c r="B1" s="46" t="s">
        <v>232</v>
      </c>
      <c r="C1" s="6" t="s">
        <v>231</v>
      </c>
      <c r="D1" s="6" t="s">
        <v>147</v>
      </c>
      <c r="E1" s="6" t="s">
        <v>148</v>
      </c>
      <c r="F1" s="6" t="s">
        <v>149</v>
      </c>
      <c r="G1" s="47" t="s">
        <v>269</v>
      </c>
      <c r="H1" s="48" t="s">
        <v>150</v>
      </c>
      <c r="I1" s="48" t="s">
        <v>243</v>
      </c>
      <c r="J1" s="48" t="s">
        <v>246</v>
      </c>
      <c r="K1" s="47" t="s">
        <v>35</v>
      </c>
      <c r="L1" s="47" t="s">
        <v>270</v>
      </c>
      <c r="M1" s="49" t="s">
        <v>330</v>
      </c>
    </row>
    <row r="2" spans="1:13" ht="89.25" x14ac:dyDescent="0.25">
      <c r="A2" s="19" t="str">
        <f t="shared" ref="A2:A30" si="0">D2&amp;"/"&amp;E2&amp;" ("&amp;B2&amp;")"</f>
        <v>U0557-1010/GMVP (Grafimedia verplicht)</v>
      </c>
      <c r="B2" s="20" t="s">
        <v>233</v>
      </c>
      <c r="C2" s="21" t="s">
        <v>151</v>
      </c>
      <c r="D2" s="22" t="s">
        <v>152</v>
      </c>
      <c r="E2" s="22" t="s">
        <v>153</v>
      </c>
      <c r="F2" s="23" t="s">
        <v>154</v>
      </c>
      <c r="G2" s="185">
        <v>75864</v>
      </c>
      <c r="H2" s="25">
        <v>0.22650000000000001</v>
      </c>
      <c r="I2" s="26"/>
      <c r="J2" s="27"/>
      <c r="K2" s="185">
        <v>18229</v>
      </c>
      <c r="L2" s="24" t="s">
        <v>259</v>
      </c>
      <c r="M2" s="28" t="s">
        <v>273</v>
      </c>
    </row>
    <row r="3" spans="1:13" ht="76.5" x14ac:dyDescent="0.25">
      <c r="A3" s="19" t="str">
        <f t="shared" si="0"/>
        <v>U0557-1010/GMVW1 (Grafimedia vrijwillig 1)</v>
      </c>
      <c r="B3" s="20" t="s">
        <v>237</v>
      </c>
      <c r="C3" s="21" t="s">
        <v>151</v>
      </c>
      <c r="D3" s="22" t="s">
        <v>152</v>
      </c>
      <c r="E3" s="22" t="s">
        <v>155</v>
      </c>
      <c r="F3" s="23" t="s">
        <v>156</v>
      </c>
      <c r="G3" s="24" t="s">
        <v>121</v>
      </c>
      <c r="H3" s="25" t="s">
        <v>121</v>
      </c>
      <c r="I3" s="24"/>
      <c r="J3" s="27"/>
      <c r="K3" s="24" t="s">
        <v>121</v>
      </c>
      <c r="L3" s="24" t="s">
        <v>125</v>
      </c>
      <c r="M3" s="28" t="s">
        <v>273</v>
      </c>
    </row>
    <row r="4" spans="1:13" ht="76.5" x14ac:dyDescent="0.25">
      <c r="A4" s="19" t="str">
        <f t="shared" si="0"/>
        <v>U0557-1010/GMVW2 (Grafimedia vrijwillig 2)</v>
      </c>
      <c r="B4" s="20" t="s">
        <v>238</v>
      </c>
      <c r="C4" s="21" t="s">
        <v>151</v>
      </c>
      <c r="D4" s="22" t="s">
        <v>152</v>
      </c>
      <c r="E4" s="22" t="s">
        <v>157</v>
      </c>
      <c r="F4" s="23" t="s">
        <v>158</v>
      </c>
      <c r="G4" s="24" t="s">
        <v>121</v>
      </c>
      <c r="H4" s="25" t="s">
        <v>121</v>
      </c>
      <c r="I4" s="24"/>
      <c r="J4" s="27"/>
      <c r="K4" s="24" t="s">
        <v>121</v>
      </c>
      <c r="L4" s="24" t="s">
        <v>125</v>
      </c>
      <c r="M4" s="28" t="s">
        <v>273</v>
      </c>
    </row>
    <row r="5" spans="1:13" ht="51" x14ac:dyDescent="0.25">
      <c r="A5" s="19" t="str">
        <f t="shared" si="0"/>
        <v>S0557-1001/ASFGZ (ASF (Algemene Sociale Fondsen))</v>
      </c>
      <c r="B5" s="20" t="s">
        <v>381</v>
      </c>
      <c r="C5" s="21" t="s">
        <v>151</v>
      </c>
      <c r="D5" s="22" t="s">
        <v>159</v>
      </c>
      <c r="E5" s="22" t="s">
        <v>160</v>
      </c>
      <c r="F5" s="23" t="s">
        <v>161</v>
      </c>
      <c r="G5" s="185">
        <f>$G$2</f>
        <v>75864</v>
      </c>
      <c r="H5" s="25">
        <v>2.5000000000000001E-3</v>
      </c>
      <c r="I5" s="25"/>
      <c r="J5" s="25"/>
      <c r="K5" s="24">
        <v>0</v>
      </c>
      <c r="L5" s="24" t="s">
        <v>236</v>
      </c>
      <c r="M5" s="28" t="s">
        <v>273</v>
      </c>
    </row>
    <row r="6" spans="1:13" ht="51" x14ac:dyDescent="0.25">
      <c r="A6" s="19" t="str">
        <f t="shared" si="0"/>
        <v>S0557-1002/ASFWW (ASF (Algemene Sociale Fondsen))</v>
      </c>
      <c r="B6" s="20" t="s">
        <v>381</v>
      </c>
      <c r="C6" s="21" t="s">
        <v>151</v>
      </c>
      <c r="D6" s="22" t="s">
        <v>162</v>
      </c>
      <c r="E6" s="22" t="s">
        <v>163</v>
      </c>
      <c r="F6" s="23" t="s">
        <v>164</v>
      </c>
      <c r="G6" s="185">
        <f t="shared" ref="G6:G9" si="1">$G$2</f>
        <v>75864</v>
      </c>
      <c r="H6" s="25">
        <v>2E-3</v>
      </c>
      <c r="I6" s="25"/>
      <c r="J6" s="25"/>
      <c r="K6" s="24">
        <v>0</v>
      </c>
      <c r="L6" s="24" t="s">
        <v>236</v>
      </c>
      <c r="M6" s="28" t="s">
        <v>273</v>
      </c>
    </row>
    <row r="7" spans="1:13" ht="51" x14ac:dyDescent="0.25">
      <c r="A7" s="19" t="str">
        <f t="shared" si="0"/>
        <v>S0557-2001/ASFVB (ASF (Algemene Sociale Fondsen))</v>
      </c>
      <c r="B7" s="20" t="s">
        <v>381</v>
      </c>
      <c r="C7" s="21" t="s">
        <v>151</v>
      </c>
      <c r="D7" s="22" t="s">
        <v>165</v>
      </c>
      <c r="E7" s="22" t="s">
        <v>166</v>
      </c>
      <c r="F7" s="23" t="s">
        <v>167</v>
      </c>
      <c r="G7" s="185">
        <f t="shared" si="1"/>
        <v>75864</v>
      </c>
      <c r="H7" s="25">
        <v>1E-3</v>
      </c>
      <c r="I7" s="25"/>
      <c r="J7" s="25"/>
      <c r="K7" s="24">
        <v>0</v>
      </c>
      <c r="L7" s="24" t="s">
        <v>236</v>
      </c>
      <c r="M7" s="28" t="s">
        <v>273</v>
      </c>
    </row>
    <row r="8" spans="1:13" ht="51" x14ac:dyDescent="0.25">
      <c r="A8" s="19" t="str">
        <f t="shared" si="0"/>
        <v>S0557-2002/ASFOP (ASF (Algemene Sociale Fondsen))</v>
      </c>
      <c r="B8" s="20" t="s">
        <v>381</v>
      </c>
      <c r="C8" s="21" t="s">
        <v>151</v>
      </c>
      <c r="D8" s="22" t="s">
        <v>168</v>
      </c>
      <c r="E8" s="22" t="s">
        <v>169</v>
      </c>
      <c r="F8" s="23" t="s">
        <v>170</v>
      </c>
      <c r="G8" s="185">
        <f t="shared" si="1"/>
        <v>75864</v>
      </c>
      <c r="H8" s="25">
        <v>2.5999999999999999E-3</v>
      </c>
      <c r="I8" s="25"/>
      <c r="J8" s="25"/>
      <c r="K8" s="24">
        <v>0</v>
      </c>
      <c r="L8" s="24" t="s">
        <v>236</v>
      </c>
      <c r="M8" s="28" t="s">
        <v>273</v>
      </c>
    </row>
    <row r="9" spans="1:13" ht="38.25" x14ac:dyDescent="0.25">
      <c r="A9" s="19" t="s">
        <v>464</v>
      </c>
      <c r="B9" s="20" t="s">
        <v>381</v>
      </c>
      <c r="C9" s="21" t="s">
        <v>151</v>
      </c>
      <c r="D9" s="58" t="s">
        <v>383</v>
      </c>
      <c r="E9" s="58" t="s">
        <v>382</v>
      </c>
      <c r="F9" s="61" t="s">
        <v>384</v>
      </c>
      <c r="G9" s="185">
        <f t="shared" si="1"/>
        <v>75864</v>
      </c>
      <c r="H9" s="25">
        <v>2E-3</v>
      </c>
      <c r="I9" s="65"/>
      <c r="J9" s="65"/>
      <c r="K9" s="24">
        <v>0</v>
      </c>
      <c r="L9" s="62" t="s">
        <v>451</v>
      </c>
      <c r="M9" s="28" t="s">
        <v>273</v>
      </c>
    </row>
    <row r="10" spans="1:13" ht="63.75" x14ac:dyDescent="0.25">
      <c r="A10" s="19" t="str">
        <f t="shared" si="0"/>
        <v>U0557-1020/KFVP (Kartonnage verplicht)</v>
      </c>
      <c r="B10" s="20" t="s">
        <v>260</v>
      </c>
      <c r="C10" s="21" t="s">
        <v>171</v>
      </c>
      <c r="D10" s="22" t="s">
        <v>172</v>
      </c>
      <c r="E10" s="22" t="s">
        <v>173</v>
      </c>
      <c r="F10" s="23" t="s">
        <v>174</v>
      </c>
      <c r="G10" s="29">
        <v>137800</v>
      </c>
      <c r="H10" s="26">
        <v>0.24199999999999999</v>
      </c>
      <c r="I10" s="26"/>
      <c r="J10" s="27"/>
      <c r="K10" s="185">
        <v>22992</v>
      </c>
      <c r="L10" s="24" t="s">
        <v>259</v>
      </c>
      <c r="M10" s="28" t="s">
        <v>273</v>
      </c>
    </row>
    <row r="11" spans="1:13" ht="51" x14ac:dyDescent="0.25">
      <c r="A11" s="19" t="str">
        <f t="shared" si="0"/>
        <v>U0557-1020/KFVW (Kartonnage vrijwillig)</v>
      </c>
      <c r="B11" s="20" t="s">
        <v>261</v>
      </c>
      <c r="C11" s="21" t="s">
        <v>171</v>
      </c>
      <c r="D11" s="22" t="s">
        <v>172</v>
      </c>
      <c r="E11" s="22" t="s">
        <v>175</v>
      </c>
      <c r="F11" s="23" t="s">
        <v>176</v>
      </c>
      <c r="G11" s="24" t="s">
        <v>121</v>
      </c>
      <c r="H11" s="26" t="s">
        <v>121</v>
      </c>
      <c r="I11" s="24"/>
      <c r="J11" s="27"/>
      <c r="K11" s="24" t="s">
        <v>121</v>
      </c>
      <c r="L11" s="24" t="s">
        <v>125</v>
      </c>
      <c r="M11" s="28" t="s">
        <v>273</v>
      </c>
    </row>
    <row r="12" spans="1:13" ht="76.5" x14ac:dyDescent="0.25">
      <c r="A12" s="19" t="str">
        <f t="shared" si="0"/>
        <v>U0557-1030/VDVP (VDI verplicht)</v>
      </c>
      <c r="B12" s="20" t="s">
        <v>286</v>
      </c>
      <c r="C12" s="21" t="s">
        <v>177</v>
      </c>
      <c r="D12" s="22" t="s">
        <v>178</v>
      </c>
      <c r="E12" s="22" t="s">
        <v>179</v>
      </c>
      <c r="F12" s="23" t="s">
        <v>180</v>
      </c>
      <c r="G12" s="185">
        <v>93552</v>
      </c>
      <c r="H12" s="26">
        <v>0.28849999999999998</v>
      </c>
      <c r="I12" s="26"/>
      <c r="J12" s="26"/>
      <c r="K12" s="185">
        <v>19730</v>
      </c>
      <c r="L12" s="24" t="s">
        <v>451</v>
      </c>
      <c r="M12" s="28" t="s">
        <v>132</v>
      </c>
    </row>
    <row r="13" spans="1:13" ht="76.5" x14ac:dyDescent="0.25">
      <c r="A13" s="19" t="str">
        <f t="shared" si="0"/>
        <v>U0557-1030/VDVW
 (VDI vrijwillig)</v>
      </c>
      <c r="B13" s="20" t="s">
        <v>287</v>
      </c>
      <c r="C13" s="21" t="s">
        <v>177</v>
      </c>
      <c r="D13" s="22" t="s">
        <v>178</v>
      </c>
      <c r="E13" s="22" t="s">
        <v>181</v>
      </c>
      <c r="F13" s="23" t="s">
        <v>182</v>
      </c>
      <c r="G13" s="24" t="s">
        <v>121</v>
      </c>
      <c r="H13" s="26" t="s">
        <v>121</v>
      </c>
      <c r="I13" s="24"/>
      <c r="J13" s="27"/>
      <c r="K13" s="24" t="s">
        <v>121</v>
      </c>
      <c r="L13" s="24" t="s">
        <v>125</v>
      </c>
      <c r="M13" s="28" t="s">
        <v>132</v>
      </c>
    </row>
    <row r="14" spans="1:13" ht="63.75" x14ac:dyDescent="0.25">
      <c r="A14" s="19" t="str">
        <f t="shared" si="0"/>
        <v>U0557-1004/DBP1 (DB primo vrijwillig 1)</v>
      </c>
      <c r="B14" s="20" t="s">
        <v>288</v>
      </c>
      <c r="C14" s="21" t="s">
        <v>183</v>
      </c>
      <c r="D14" s="22" t="s">
        <v>130</v>
      </c>
      <c r="E14" s="22" t="s">
        <v>184</v>
      </c>
      <c r="F14" s="23" t="s">
        <v>185</v>
      </c>
      <c r="G14" s="24" t="s">
        <v>121</v>
      </c>
      <c r="H14" s="24" t="s">
        <v>121</v>
      </c>
      <c r="I14" s="24"/>
      <c r="J14" s="24"/>
      <c r="K14" s="24" t="s">
        <v>121</v>
      </c>
      <c r="L14" s="24" t="s">
        <v>271</v>
      </c>
      <c r="M14" s="28" t="s">
        <v>132</v>
      </c>
    </row>
    <row r="15" spans="1:13" ht="63.75" x14ac:dyDescent="0.25">
      <c r="A15" s="19" t="str">
        <f t="shared" si="0"/>
        <v>U0557-1004/DBP2 (DB primo vrijwillig 2)</v>
      </c>
      <c r="B15" s="20" t="s">
        <v>290</v>
      </c>
      <c r="C15" s="21" t="s">
        <v>183</v>
      </c>
      <c r="D15" s="22" t="s">
        <v>130</v>
      </c>
      <c r="E15" s="22" t="s">
        <v>186</v>
      </c>
      <c r="F15" s="23" t="s">
        <v>187</v>
      </c>
      <c r="G15" s="24" t="s">
        <v>121</v>
      </c>
      <c r="H15" s="24" t="s">
        <v>121</v>
      </c>
      <c r="I15" s="24"/>
      <c r="J15" s="24"/>
      <c r="K15" s="24" t="s">
        <v>121</v>
      </c>
      <c r="L15" s="24" t="s">
        <v>271</v>
      </c>
      <c r="M15" s="28" t="s">
        <v>132</v>
      </c>
    </row>
    <row r="16" spans="1:13" ht="63.75" x14ac:dyDescent="0.25">
      <c r="A16" s="19" t="str">
        <f t="shared" si="0"/>
        <v>U0557-1004/DBP3 (DB primo vrijwillig 3)</v>
      </c>
      <c r="B16" s="20" t="s">
        <v>289</v>
      </c>
      <c r="C16" s="21" t="s">
        <v>183</v>
      </c>
      <c r="D16" s="22" t="s">
        <v>130</v>
      </c>
      <c r="E16" s="22" t="s">
        <v>188</v>
      </c>
      <c r="F16" s="23" t="s">
        <v>189</v>
      </c>
      <c r="G16" s="24" t="s">
        <v>121</v>
      </c>
      <c r="H16" s="24" t="s">
        <v>121</v>
      </c>
      <c r="I16" s="24"/>
      <c r="J16" s="24"/>
      <c r="K16" s="24" t="s">
        <v>121</v>
      </c>
      <c r="L16" s="24" t="s">
        <v>271</v>
      </c>
      <c r="M16" s="28" t="s">
        <v>132</v>
      </c>
    </row>
    <row r="17" spans="1:13" ht="25.5" x14ac:dyDescent="0.25">
      <c r="A17" s="19" t="str">
        <f t="shared" si="0"/>
        <v>U0557-1004/DBU1 (DB ultimo vrijwillig 1)</v>
      </c>
      <c r="B17" s="20" t="s">
        <v>263</v>
      </c>
      <c r="C17" s="21" t="s">
        <v>183</v>
      </c>
      <c r="D17" s="22" t="s">
        <v>130</v>
      </c>
      <c r="E17" s="22" t="s">
        <v>190</v>
      </c>
      <c r="F17" s="23" t="s">
        <v>191</v>
      </c>
      <c r="G17" s="24" t="s">
        <v>121</v>
      </c>
      <c r="H17" s="24" t="s">
        <v>121</v>
      </c>
      <c r="I17" s="24"/>
      <c r="J17" s="27"/>
      <c r="K17" s="24" t="s">
        <v>121</v>
      </c>
      <c r="L17" s="24" t="s">
        <v>271</v>
      </c>
      <c r="M17" s="28" t="s">
        <v>273</v>
      </c>
    </row>
    <row r="18" spans="1:13" ht="25.5" x14ac:dyDescent="0.25">
      <c r="A18" s="19" t="str">
        <f t="shared" si="0"/>
        <v>U0557-1004/DBU2 (DB ultimo vrijwillig 2)</v>
      </c>
      <c r="B18" s="20" t="s">
        <v>264</v>
      </c>
      <c r="C18" s="21" t="s">
        <v>183</v>
      </c>
      <c r="D18" s="22" t="s">
        <v>130</v>
      </c>
      <c r="E18" s="22" t="s">
        <v>192</v>
      </c>
      <c r="F18" s="23" t="s">
        <v>193</v>
      </c>
      <c r="G18" s="24" t="s">
        <v>121</v>
      </c>
      <c r="H18" s="24" t="s">
        <v>121</v>
      </c>
      <c r="I18" s="24"/>
      <c r="J18" s="27"/>
      <c r="K18" s="24" t="s">
        <v>121</v>
      </c>
      <c r="L18" s="24" t="s">
        <v>271</v>
      </c>
      <c r="M18" s="28" t="s">
        <v>273</v>
      </c>
    </row>
    <row r="19" spans="1:13" ht="25.5" x14ac:dyDescent="0.25">
      <c r="A19" s="19" t="str">
        <f t="shared" si="0"/>
        <v>U0557-1004/DBU3 (DB ultimo vrijwillig 3)</v>
      </c>
      <c r="B19" s="20" t="s">
        <v>265</v>
      </c>
      <c r="C19" s="21" t="s">
        <v>183</v>
      </c>
      <c r="D19" s="22" t="s">
        <v>130</v>
      </c>
      <c r="E19" s="22" t="s">
        <v>194</v>
      </c>
      <c r="F19" s="23" t="s">
        <v>195</v>
      </c>
      <c r="G19" s="24" t="s">
        <v>121</v>
      </c>
      <c r="H19" s="24" t="s">
        <v>121</v>
      </c>
      <c r="I19" s="24"/>
      <c r="J19" s="27"/>
      <c r="K19" s="24" t="s">
        <v>121</v>
      </c>
      <c r="L19" s="24" t="s">
        <v>271</v>
      </c>
      <c r="M19" s="28" t="s">
        <v>273</v>
      </c>
    </row>
    <row r="20" spans="1:13" ht="25.5" x14ac:dyDescent="0.25">
      <c r="A20" s="19" t="str">
        <f t="shared" si="0"/>
        <v>U0557-1009/CDCU1 (CDC ultimo vrijwillig 1)</v>
      </c>
      <c r="B20" s="20" t="s">
        <v>266</v>
      </c>
      <c r="C20" s="21" t="s">
        <v>183</v>
      </c>
      <c r="D20" s="22" t="s">
        <v>133</v>
      </c>
      <c r="E20" s="22" t="s">
        <v>196</v>
      </c>
      <c r="F20" s="23" t="s">
        <v>197</v>
      </c>
      <c r="G20" s="24" t="s">
        <v>121</v>
      </c>
      <c r="H20" s="24" t="s">
        <v>121</v>
      </c>
      <c r="I20" s="24"/>
      <c r="J20" s="27"/>
      <c r="K20" s="24" t="s">
        <v>121</v>
      </c>
      <c r="L20" s="24" t="s">
        <v>271</v>
      </c>
      <c r="M20" s="28" t="s">
        <v>273</v>
      </c>
    </row>
    <row r="21" spans="1:13" ht="25.5" x14ac:dyDescent="0.25">
      <c r="A21" s="19" t="str">
        <f t="shared" si="0"/>
        <v>U0557-1009/CDCU2 (CDC ultimo vrijwillig 2)</v>
      </c>
      <c r="B21" s="20" t="s">
        <v>267</v>
      </c>
      <c r="C21" s="21" t="s">
        <v>183</v>
      </c>
      <c r="D21" s="22" t="s">
        <v>133</v>
      </c>
      <c r="E21" s="22" t="s">
        <v>198</v>
      </c>
      <c r="F21" s="23" t="s">
        <v>199</v>
      </c>
      <c r="G21" s="24" t="s">
        <v>121</v>
      </c>
      <c r="H21" s="24" t="s">
        <v>121</v>
      </c>
      <c r="I21" s="24"/>
      <c r="J21" s="27"/>
      <c r="K21" s="24" t="s">
        <v>121</v>
      </c>
      <c r="L21" s="24" t="s">
        <v>271</v>
      </c>
      <c r="M21" s="28" t="s">
        <v>273</v>
      </c>
    </row>
    <row r="22" spans="1:13" ht="76.5" x14ac:dyDescent="0.25">
      <c r="A22" s="19" t="str">
        <f t="shared" si="0"/>
        <v>U0557-1009/CDCUA (CDC ultimo met ANW)</v>
      </c>
      <c r="B22" s="20" t="s">
        <v>298</v>
      </c>
      <c r="C22" s="21" t="s">
        <v>183</v>
      </c>
      <c r="D22" s="22" t="s">
        <v>133</v>
      </c>
      <c r="E22" s="22" t="s">
        <v>200</v>
      </c>
      <c r="F22" s="23" t="s">
        <v>201</v>
      </c>
      <c r="G22" s="24" t="s">
        <v>121</v>
      </c>
      <c r="H22" s="24" t="s">
        <v>121</v>
      </c>
      <c r="I22" s="24"/>
      <c r="J22" s="24"/>
      <c r="K22" s="24" t="s">
        <v>121</v>
      </c>
      <c r="L22" s="24"/>
      <c r="M22" s="28" t="s">
        <v>273</v>
      </c>
    </row>
    <row r="23" spans="1:13" ht="76.5" x14ac:dyDescent="0.25">
      <c r="A23" s="19" t="str">
        <f t="shared" si="0"/>
        <v>U0557-1009/CDCUB (CDC ultimo met WIA)</v>
      </c>
      <c r="B23" s="20" t="s">
        <v>300</v>
      </c>
      <c r="C23" s="21" t="s">
        <v>183</v>
      </c>
      <c r="D23" s="22" t="s">
        <v>133</v>
      </c>
      <c r="E23" s="22" t="s">
        <v>202</v>
      </c>
      <c r="F23" s="23" t="s">
        <v>203</v>
      </c>
      <c r="G23" s="24" t="s">
        <v>121</v>
      </c>
      <c r="H23" s="24" t="s">
        <v>121</v>
      </c>
      <c r="I23" s="24"/>
      <c r="J23" s="24"/>
      <c r="K23" s="24" t="s">
        <v>121</v>
      </c>
      <c r="L23" s="24"/>
      <c r="M23" s="28" t="s">
        <v>273</v>
      </c>
    </row>
    <row r="24" spans="1:13" ht="89.25" x14ac:dyDescent="0.25">
      <c r="A24" s="19" t="str">
        <f t="shared" si="0"/>
        <v>U0557-1009/CDCUC (CDC ultimo met WIA en ANW)</v>
      </c>
      <c r="B24" s="20" t="s">
        <v>299</v>
      </c>
      <c r="C24" s="21" t="s">
        <v>183</v>
      </c>
      <c r="D24" s="22" t="s">
        <v>133</v>
      </c>
      <c r="E24" s="22" t="s">
        <v>204</v>
      </c>
      <c r="F24" s="23" t="s">
        <v>205</v>
      </c>
      <c r="G24" s="24" t="s">
        <v>121</v>
      </c>
      <c r="H24" s="24" t="s">
        <v>121</v>
      </c>
      <c r="I24" s="24"/>
      <c r="J24" s="24"/>
      <c r="K24" s="24" t="s">
        <v>121</v>
      </c>
      <c r="L24" s="24"/>
      <c r="M24" s="28" t="s">
        <v>273</v>
      </c>
    </row>
    <row r="25" spans="1:13" ht="51" x14ac:dyDescent="0.25">
      <c r="A25" s="19" t="str">
        <f t="shared" si="0"/>
        <v>U0557-1001/GBP (GBP verplicht 1 t/m 6)</v>
      </c>
      <c r="B25" s="20" t="s">
        <v>262</v>
      </c>
      <c r="C25" s="21" t="s">
        <v>206</v>
      </c>
      <c r="D25" s="22" t="s">
        <v>117</v>
      </c>
      <c r="E25" s="22" t="s">
        <v>118</v>
      </c>
      <c r="F25" s="23" t="s">
        <v>207</v>
      </c>
      <c r="G25" s="185">
        <v>75864</v>
      </c>
      <c r="H25" s="69">
        <v>8.3000000000000004E-2</v>
      </c>
      <c r="I25" s="26"/>
      <c r="J25" s="27"/>
      <c r="K25" s="185">
        <v>18475</v>
      </c>
      <c r="L25" s="24" t="s">
        <v>259</v>
      </c>
      <c r="M25" s="28" t="s">
        <v>273</v>
      </c>
    </row>
    <row r="26" spans="1:13" ht="63.75" x14ac:dyDescent="0.25">
      <c r="A26" s="19" t="str">
        <f t="shared" si="0"/>
        <v>U0557-1002/ST30 (GBP vrijwillig 7+)</v>
      </c>
      <c r="B26" s="20" t="s">
        <v>241</v>
      </c>
      <c r="C26" s="21" t="s">
        <v>206</v>
      </c>
      <c r="D26" s="22" t="s">
        <v>119</v>
      </c>
      <c r="E26" s="22" t="s">
        <v>120</v>
      </c>
      <c r="F26" s="23" t="s">
        <v>208</v>
      </c>
      <c r="G26" s="185">
        <f>G25</f>
        <v>75864</v>
      </c>
      <c r="H26" s="24" t="s">
        <v>244</v>
      </c>
      <c r="I26" s="185" t="s">
        <v>513</v>
      </c>
      <c r="J26" s="186">
        <v>0.78</v>
      </c>
      <c r="K26" s="185">
        <v>18475</v>
      </c>
      <c r="L26" s="24" t="s">
        <v>259</v>
      </c>
      <c r="M26" s="28" t="s">
        <v>273</v>
      </c>
    </row>
    <row r="27" spans="1:13" ht="38.25" x14ac:dyDescent="0.25">
      <c r="A27" s="19" t="str">
        <f t="shared" si="0"/>
        <v>U0557-1003/ZEEV1 (Zeevisserij Vissers)</v>
      </c>
      <c r="B27" s="20" t="s">
        <v>297</v>
      </c>
      <c r="C27" s="21" t="s">
        <v>209</v>
      </c>
      <c r="D27" s="22" t="s">
        <v>126</v>
      </c>
      <c r="E27" s="22" t="s">
        <v>127</v>
      </c>
      <c r="F27" s="23" t="s">
        <v>210</v>
      </c>
      <c r="G27" s="187">
        <v>75920</v>
      </c>
      <c r="H27" s="25">
        <v>0.2</v>
      </c>
      <c r="I27" s="185" t="s">
        <v>513</v>
      </c>
      <c r="J27" s="184">
        <v>1</v>
      </c>
      <c r="K27" s="185">
        <v>18590</v>
      </c>
      <c r="L27" s="24" t="s">
        <v>236</v>
      </c>
      <c r="M27" s="28" t="s">
        <v>274</v>
      </c>
    </row>
    <row r="28" spans="1:13" ht="51" x14ac:dyDescent="0.25">
      <c r="A28" s="19" t="str">
        <f t="shared" si="0"/>
        <v>U0557-1003/ZEEW (Zeevisserij Wal)</v>
      </c>
      <c r="B28" s="20" t="s">
        <v>503</v>
      </c>
      <c r="C28" s="21" t="s">
        <v>209</v>
      </c>
      <c r="D28" s="22" t="s">
        <v>126</v>
      </c>
      <c r="E28" s="22" t="s">
        <v>501</v>
      </c>
      <c r="F28" s="23" t="s">
        <v>502</v>
      </c>
      <c r="G28" s="187">
        <v>75920</v>
      </c>
      <c r="H28" s="25">
        <v>0.2</v>
      </c>
      <c r="I28" s="185" t="s">
        <v>513</v>
      </c>
      <c r="J28" s="184">
        <v>1</v>
      </c>
      <c r="K28" s="185">
        <f>K27</f>
        <v>18590</v>
      </c>
      <c r="L28" s="24" t="s">
        <v>236</v>
      </c>
      <c r="M28" s="28" t="s">
        <v>274</v>
      </c>
    </row>
    <row r="29" spans="1:13" ht="51" x14ac:dyDescent="0.25">
      <c r="A29" s="70" t="str">
        <f t="shared" si="0"/>
        <v>U0557-2002/ZEEV ()</v>
      </c>
      <c r="B29" s="20"/>
      <c r="C29" s="21" t="s">
        <v>209</v>
      </c>
      <c r="D29" s="22" t="s">
        <v>122</v>
      </c>
      <c r="E29" s="22" t="s">
        <v>128</v>
      </c>
      <c r="F29" s="23" t="s">
        <v>211</v>
      </c>
      <c r="G29" s="185">
        <v>433007</v>
      </c>
      <c r="H29" s="69">
        <v>1.2999999999999999E-2</v>
      </c>
      <c r="I29" s="26"/>
      <c r="J29" s="26"/>
      <c r="K29" s="185">
        <v>75864</v>
      </c>
      <c r="L29" s="24"/>
      <c r="M29" s="28" t="s">
        <v>272</v>
      </c>
    </row>
    <row r="30" spans="1:13" x14ac:dyDescent="0.25">
      <c r="A30" s="19" t="str">
        <f t="shared" si="0"/>
        <v>U0557-2003/ZEEV ()</v>
      </c>
      <c r="B30" s="20"/>
      <c r="C30" s="21" t="s">
        <v>209</v>
      </c>
      <c r="D30" s="22" t="s">
        <v>124</v>
      </c>
      <c r="E30" s="22" t="s">
        <v>128</v>
      </c>
      <c r="F30" s="23" t="s">
        <v>129</v>
      </c>
      <c r="G30" s="23" t="s">
        <v>125</v>
      </c>
      <c r="H30" s="25">
        <v>1.2E-2</v>
      </c>
      <c r="I30" s="25"/>
      <c r="J30" s="25"/>
      <c r="K30" s="23" t="s">
        <v>125</v>
      </c>
      <c r="L30" s="23"/>
      <c r="M30" s="28" t="s">
        <v>272</v>
      </c>
    </row>
    <row r="31" spans="1:13" ht="51" x14ac:dyDescent="0.25">
      <c r="A31" s="19" t="str">
        <f t="shared" ref="A31:A45" si="2">D31&amp;"/"&amp;E31&amp;" ("&amp;B31&amp;")"</f>
        <v>U0557-1040/AVPU (GH Aardappel verplicht)</v>
      </c>
      <c r="B31" s="56" t="s">
        <v>352</v>
      </c>
      <c r="C31" s="57" t="s">
        <v>340</v>
      </c>
      <c r="D31" s="58" t="s">
        <v>341</v>
      </c>
      <c r="E31" s="58" t="s">
        <v>466</v>
      </c>
      <c r="F31" s="61" t="s">
        <v>490</v>
      </c>
      <c r="G31" s="185">
        <v>39181</v>
      </c>
      <c r="H31" s="69">
        <v>0.26650000000000001</v>
      </c>
      <c r="I31" s="60"/>
      <c r="J31" s="60"/>
      <c r="K31" s="188">
        <v>16655</v>
      </c>
      <c r="L31" s="62" t="s">
        <v>236</v>
      </c>
      <c r="M31" s="63" t="s">
        <v>465</v>
      </c>
    </row>
    <row r="32" spans="1:13" ht="51" x14ac:dyDescent="0.25">
      <c r="A32" s="19" t="str">
        <f t="shared" si="2"/>
        <v>U0557-1040/AVWU (GH Aardappel vrijwillig)</v>
      </c>
      <c r="B32" s="56" t="s">
        <v>353</v>
      </c>
      <c r="C32" s="57" t="s">
        <v>340</v>
      </c>
      <c r="D32" s="58" t="s">
        <v>341</v>
      </c>
      <c r="E32" s="58" t="s">
        <v>467</v>
      </c>
      <c r="F32" s="61" t="s">
        <v>491</v>
      </c>
      <c r="G32" s="185">
        <f>G31</f>
        <v>39181</v>
      </c>
      <c r="H32" s="69">
        <f>H31</f>
        <v>0.26650000000000001</v>
      </c>
      <c r="I32" s="60"/>
      <c r="J32" s="60"/>
      <c r="K32" s="188">
        <f>K31</f>
        <v>16655</v>
      </c>
      <c r="L32" s="62" t="s">
        <v>236</v>
      </c>
      <c r="M32" s="63" t="s">
        <v>465</v>
      </c>
    </row>
    <row r="33" spans="1:13" ht="63.75" x14ac:dyDescent="0.25">
      <c r="A33" s="19" t="str">
        <f t="shared" si="2"/>
        <v>U0557-1040/AEXU (GH Aardappel excedent)</v>
      </c>
      <c r="B33" s="56" t="s">
        <v>354</v>
      </c>
      <c r="C33" s="57" t="s">
        <v>340</v>
      </c>
      <c r="D33" s="58" t="s">
        <v>341</v>
      </c>
      <c r="E33" s="58" t="s">
        <v>468</v>
      </c>
      <c r="F33" s="61" t="s">
        <v>492</v>
      </c>
      <c r="G33" s="24">
        <f>G10</f>
        <v>137800</v>
      </c>
      <c r="H33" s="24" t="s">
        <v>121</v>
      </c>
      <c r="I33" s="60"/>
      <c r="J33" s="60"/>
      <c r="K33" s="188">
        <f>G31</f>
        <v>39181</v>
      </c>
      <c r="L33" s="62" t="s">
        <v>236</v>
      </c>
      <c r="M33" s="63" t="s">
        <v>465</v>
      </c>
    </row>
    <row r="34" spans="1:13" ht="51" x14ac:dyDescent="0.25">
      <c r="A34" s="19" t="str">
        <f t="shared" si="2"/>
        <v>U0557-1040/GFVPU (GH GR &amp; FR verplicht)</v>
      </c>
      <c r="B34" s="56" t="s">
        <v>355</v>
      </c>
      <c r="C34" s="57" t="s">
        <v>342</v>
      </c>
      <c r="D34" s="58" t="s">
        <v>341</v>
      </c>
      <c r="E34" s="58" t="s">
        <v>469</v>
      </c>
      <c r="F34" s="61" t="s">
        <v>493</v>
      </c>
      <c r="G34" s="185">
        <f>G31</f>
        <v>39181</v>
      </c>
      <c r="H34" s="69">
        <f>H31</f>
        <v>0.26650000000000001</v>
      </c>
      <c r="I34" s="60"/>
      <c r="J34" s="60"/>
      <c r="K34" s="188">
        <f>K31</f>
        <v>16655</v>
      </c>
      <c r="L34" s="62" t="s">
        <v>236</v>
      </c>
      <c r="M34" s="63" t="s">
        <v>465</v>
      </c>
    </row>
    <row r="35" spans="1:13" ht="51" x14ac:dyDescent="0.25">
      <c r="A35" s="19" t="str">
        <f t="shared" si="2"/>
        <v>U0557-1040/GFVWU (GH GR &amp; FR vrijwillig)</v>
      </c>
      <c r="B35" s="56" t="s">
        <v>356</v>
      </c>
      <c r="C35" s="57" t="s">
        <v>342</v>
      </c>
      <c r="D35" s="58" t="s">
        <v>341</v>
      </c>
      <c r="E35" s="58" t="s">
        <v>470</v>
      </c>
      <c r="F35" s="61" t="s">
        <v>493</v>
      </c>
      <c r="G35" s="185">
        <f>G31</f>
        <v>39181</v>
      </c>
      <c r="H35" s="69">
        <f>H31</f>
        <v>0.26650000000000001</v>
      </c>
      <c r="I35" s="60"/>
      <c r="J35" s="60"/>
      <c r="K35" s="188">
        <f>K31</f>
        <v>16655</v>
      </c>
      <c r="L35" s="62" t="s">
        <v>236</v>
      </c>
      <c r="M35" s="63" t="s">
        <v>465</v>
      </c>
    </row>
    <row r="36" spans="1:13" ht="63.75" x14ac:dyDescent="0.25">
      <c r="A36" s="19" t="str">
        <f t="shared" si="2"/>
        <v>U0557-1040/GFEXU (GH GR &amp; FR excedent)</v>
      </c>
      <c r="B36" s="56" t="s">
        <v>357</v>
      </c>
      <c r="C36" s="57" t="s">
        <v>342</v>
      </c>
      <c r="D36" s="58" t="s">
        <v>341</v>
      </c>
      <c r="E36" s="58" t="s">
        <v>471</v>
      </c>
      <c r="F36" s="61" t="s">
        <v>494</v>
      </c>
      <c r="G36" s="24">
        <f>G10</f>
        <v>137800</v>
      </c>
      <c r="H36" s="24" t="s">
        <v>121</v>
      </c>
      <c r="I36" s="60"/>
      <c r="J36" s="60"/>
      <c r="K36" s="188">
        <f>G31</f>
        <v>39181</v>
      </c>
      <c r="L36" s="62" t="s">
        <v>236</v>
      </c>
      <c r="M36" s="63" t="s">
        <v>465</v>
      </c>
    </row>
    <row r="37" spans="1:13" ht="63.75" x14ac:dyDescent="0.25">
      <c r="A37" s="19" t="str">
        <f t="shared" si="2"/>
        <v>U0557-1040/KAVPU (GH Kaas verplicht)</v>
      </c>
      <c r="B37" s="56" t="s">
        <v>358</v>
      </c>
      <c r="C37" s="57" t="s">
        <v>343</v>
      </c>
      <c r="D37" s="58" t="s">
        <v>341</v>
      </c>
      <c r="E37" s="58" t="s">
        <v>472</v>
      </c>
      <c r="F37" s="61" t="s">
        <v>495</v>
      </c>
      <c r="G37" s="185">
        <v>46340</v>
      </c>
      <c r="H37" s="26">
        <v>0.23200000000000001</v>
      </c>
      <c r="I37" s="60"/>
      <c r="J37" s="60"/>
      <c r="K37" s="188">
        <v>20647</v>
      </c>
      <c r="L37" s="62" t="s">
        <v>236</v>
      </c>
      <c r="M37" s="63" t="s">
        <v>465</v>
      </c>
    </row>
    <row r="38" spans="1:13" ht="63.75" x14ac:dyDescent="0.25">
      <c r="A38" s="19" t="str">
        <f t="shared" si="2"/>
        <v>U0557-1040/KAVWU (GH Kaas vrijwillig)</v>
      </c>
      <c r="B38" s="56" t="s">
        <v>359</v>
      </c>
      <c r="C38" s="57" t="s">
        <v>343</v>
      </c>
      <c r="D38" s="58" t="s">
        <v>341</v>
      </c>
      <c r="E38" s="58" t="s">
        <v>473</v>
      </c>
      <c r="F38" s="61" t="s">
        <v>496</v>
      </c>
      <c r="G38" s="185">
        <f>G37</f>
        <v>46340</v>
      </c>
      <c r="H38" s="26">
        <f>H37</f>
        <v>0.23200000000000001</v>
      </c>
      <c r="I38" s="60"/>
      <c r="J38" s="60"/>
      <c r="K38" s="188">
        <f>K37</f>
        <v>20647</v>
      </c>
      <c r="L38" s="62" t="s">
        <v>236</v>
      </c>
      <c r="M38" s="63" t="s">
        <v>465</v>
      </c>
    </row>
    <row r="39" spans="1:13" ht="63.75" x14ac:dyDescent="0.25">
      <c r="A39" s="19" t="str">
        <f t="shared" si="2"/>
        <v>U0557-1040/KAEXU (GH Kaas excedent)</v>
      </c>
      <c r="B39" s="56" t="s">
        <v>360</v>
      </c>
      <c r="C39" s="57" t="s">
        <v>343</v>
      </c>
      <c r="D39" s="58" t="s">
        <v>341</v>
      </c>
      <c r="E39" s="58" t="s">
        <v>474</v>
      </c>
      <c r="F39" s="61" t="s">
        <v>497</v>
      </c>
      <c r="G39" s="24">
        <f>G10</f>
        <v>137800</v>
      </c>
      <c r="H39" s="24" t="s">
        <v>121</v>
      </c>
      <c r="I39" s="60"/>
      <c r="J39" s="60"/>
      <c r="K39" s="188">
        <f>G37</f>
        <v>46340</v>
      </c>
      <c r="L39" s="62" t="s">
        <v>236</v>
      </c>
      <c r="M39" s="63" t="s">
        <v>465</v>
      </c>
    </row>
    <row r="40" spans="1:13" ht="51" x14ac:dyDescent="0.25">
      <c r="A40" s="19" t="str">
        <f t="shared" si="2"/>
        <v>U0557-1040/EIVPU (GH Eieren verplicht)</v>
      </c>
      <c r="B40" s="56" t="s">
        <v>361</v>
      </c>
      <c r="C40" s="57" t="s">
        <v>344</v>
      </c>
      <c r="D40" s="58" t="s">
        <v>341</v>
      </c>
      <c r="E40" s="58" t="s">
        <v>475</v>
      </c>
      <c r="F40" s="61" t="s">
        <v>498</v>
      </c>
      <c r="G40" s="185">
        <v>41484</v>
      </c>
      <c r="H40" s="69">
        <v>0.2475</v>
      </c>
      <c r="I40" s="60"/>
      <c r="J40" s="60"/>
      <c r="K40" s="188">
        <v>18987</v>
      </c>
      <c r="L40" s="62" t="s">
        <v>236</v>
      </c>
      <c r="M40" s="63" t="s">
        <v>465</v>
      </c>
    </row>
    <row r="41" spans="1:13" ht="51" x14ac:dyDescent="0.25">
      <c r="A41" s="19" t="str">
        <f t="shared" si="2"/>
        <v>U0557-1040/EIVWU (GH Eieren vrijwillig)</v>
      </c>
      <c r="B41" s="56" t="s">
        <v>362</v>
      </c>
      <c r="C41" s="57" t="s">
        <v>344</v>
      </c>
      <c r="D41" s="58" t="s">
        <v>341</v>
      </c>
      <c r="E41" s="58" t="s">
        <v>476</v>
      </c>
      <c r="F41" s="61" t="s">
        <v>499</v>
      </c>
      <c r="G41" s="185">
        <f>G40</f>
        <v>41484</v>
      </c>
      <c r="H41" s="69">
        <f>H40</f>
        <v>0.2475</v>
      </c>
      <c r="I41" s="60"/>
      <c r="J41" s="60"/>
      <c r="K41" s="188">
        <f>K40</f>
        <v>18987</v>
      </c>
      <c r="L41" s="62" t="s">
        <v>236</v>
      </c>
      <c r="M41" s="63" t="s">
        <v>465</v>
      </c>
    </row>
    <row r="42" spans="1:13" ht="51" x14ac:dyDescent="0.25">
      <c r="A42" s="19" t="str">
        <f t="shared" si="2"/>
        <v>U0557-1040/EIEXU (GH Eieren excedent)</v>
      </c>
      <c r="B42" s="56" t="s">
        <v>363</v>
      </c>
      <c r="C42" s="57" t="s">
        <v>344</v>
      </c>
      <c r="D42" s="58" t="s">
        <v>341</v>
      </c>
      <c r="E42" s="58" t="s">
        <v>477</v>
      </c>
      <c r="F42" s="61" t="s">
        <v>500</v>
      </c>
      <c r="G42" s="24">
        <f>G10</f>
        <v>137800</v>
      </c>
      <c r="H42" s="24" t="s">
        <v>121</v>
      </c>
      <c r="I42" s="60"/>
      <c r="J42" s="60"/>
      <c r="K42" s="188">
        <f>G41</f>
        <v>41484</v>
      </c>
      <c r="L42" s="62" t="s">
        <v>236</v>
      </c>
      <c r="M42" s="63" t="s">
        <v>465</v>
      </c>
    </row>
    <row r="43" spans="1:13" ht="63.75" x14ac:dyDescent="0.25">
      <c r="A43" s="19" t="str">
        <f t="shared" si="2"/>
        <v>U0557-1050/RWVP (Reisbranche verplicht)</v>
      </c>
      <c r="B43" s="56" t="s">
        <v>364</v>
      </c>
      <c r="C43" s="57" t="s">
        <v>345</v>
      </c>
      <c r="D43" s="58" t="s">
        <v>346</v>
      </c>
      <c r="E43" s="58" t="s">
        <v>347</v>
      </c>
      <c r="F43" s="59" t="s">
        <v>348</v>
      </c>
      <c r="G43" s="185">
        <v>55903</v>
      </c>
      <c r="H43" s="26">
        <v>0.253</v>
      </c>
      <c r="I43" s="60"/>
      <c r="J43" s="60"/>
      <c r="K43" s="188">
        <v>18475</v>
      </c>
      <c r="L43" s="62" t="s">
        <v>236</v>
      </c>
      <c r="M43" s="63" t="s">
        <v>132</v>
      </c>
    </row>
    <row r="44" spans="1:13" ht="63.75" x14ac:dyDescent="0.25">
      <c r="A44" s="19" t="str">
        <f t="shared" si="2"/>
        <v>U0557-1050/RWVW (Reisbranche vrijwillig)</v>
      </c>
      <c r="B44" s="56" t="s">
        <v>365</v>
      </c>
      <c r="C44" s="57" t="s">
        <v>345</v>
      </c>
      <c r="D44" s="58" t="s">
        <v>346</v>
      </c>
      <c r="E44" s="58" t="s">
        <v>349</v>
      </c>
      <c r="F44" s="59" t="s">
        <v>350</v>
      </c>
      <c r="G44" s="185">
        <f>G43</f>
        <v>55903</v>
      </c>
      <c r="H44" s="26">
        <f>H43</f>
        <v>0.253</v>
      </c>
      <c r="I44" s="60"/>
      <c r="J44" s="60"/>
      <c r="K44" s="188">
        <f>K43</f>
        <v>18475</v>
      </c>
      <c r="L44" s="62" t="s">
        <v>236</v>
      </c>
      <c r="M44" s="63" t="s">
        <v>132</v>
      </c>
    </row>
    <row r="45" spans="1:13" ht="51" x14ac:dyDescent="0.25">
      <c r="A45" s="19" t="str">
        <f t="shared" si="2"/>
        <v>U0557-1050/RWEX (Reisbranche excedent)</v>
      </c>
      <c r="B45" s="56" t="s">
        <v>366</v>
      </c>
      <c r="C45" s="57" t="s">
        <v>345</v>
      </c>
      <c r="D45" s="58" t="s">
        <v>346</v>
      </c>
      <c r="E45" s="58" t="s">
        <v>351</v>
      </c>
      <c r="F45" s="61" t="s">
        <v>367</v>
      </c>
      <c r="G45" s="24">
        <v>137800</v>
      </c>
      <c r="H45" s="24" t="s">
        <v>121</v>
      </c>
      <c r="I45" s="60"/>
      <c r="J45" s="60"/>
      <c r="K45" s="188">
        <f>G43</f>
        <v>55903</v>
      </c>
      <c r="L45" s="62" t="s">
        <v>236</v>
      </c>
      <c r="M45" s="63" t="s">
        <v>132</v>
      </c>
    </row>
    <row r="46" spans="1:13" ht="51" x14ac:dyDescent="0.25">
      <c r="A46" s="19" t="str">
        <f t="shared" ref="A46:A74" si="3">D46&amp;"/"&amp;E46&amp;" ("&amp;B46&amp;")"</f>
        <v>U0557-1004/ALG (DB hybride vrijwillig)</v>
      </c>
      <c r="B46" s="20" t="s">
        <v>292</v>
      </c>
      <c r="C46" s="21" t="s">
        <v>212</v>
      </c>
      <c r="D46" s="22" t="s">
        <v>130</v>
      </c>
      <c r="E46" s="22" t="s">
        <v>131</v>
      </c>
      <c r="F46" s="23" t="s">
        <v>213</v>
      </c>
      <c r="G46" s="24" t="s">
        <v>121</v>
      </c>
      <c r="H46" s="24" t="s">
        <v>121</v>
      </c>
      <c r="I46" s="24"/>
      <c r="J46" s="24"/>
      <c r="K46" s="24" t="s">
        <v>121</v>
      </c>
      <c r="L46" s="24" t="s">
        <v>271</v>
      </c>
      <c r="M46" s="28" t="s">
        <v>132</v>
      </c>
    </row>
    <row r="47" spans="1:13" ht="51" x14ac:dyDescent="0.25">
      <c r="A47" s="19" t="str">
        <f t="shared" si="3"/>
        <v>U0557-1009/CDC (CDC hybride vrijwillig)</v>
      </c>
      <c r="B47" s="20" t="s">
        <v>291</v>
      </c>
      <c r="C47" s="21" t="s">
        <v>212</v>
      </c>
      <c r="D47" s="22" t="s">
        <v>133</v>
      </c>
      <c r="E47" s="22" t="s">
        <v>134</v>
      </c>
      <c r="F47" s="23" t="s">
        <v>214</v>
      </c>
      <c r="G47" s="24" t="s">
        <v>121</v>
      </c>
      <c r="H47" s="24" t="s">
        <v>121</v>
      </c>
      <c r="I47" s="24"/>
      <c r="J47" s="24"/>
      <c r="K47" s="24" t="s">
        <v>121</v>
      </c>
      <c r="L47" s="24" t="s">
        <v>271</v>
      </c>
      <c r="M47" s="28" t="s">
        <v>132</v>
      </c>
    </row>
    <row r="48" spans="1:13" ht="25.5" x14ac:dyDescent="0.25">
      <c r="A48" s="19" t="str">
        <f t="shared" ref="A48:A49" si="4">D48&amp;"/"&amp;E48&amp;" ("&amp;B48&amp;")"</f>
        <v>U0557-1005/ST15 (DC 1,5% primo vrijwillig)</v>
      </c>
      <c r="B48" s="20" t="s">
        <v>407</v>
      </c>
      <c r="C48" s="21" t="s">
        <v>212</v>
      </c>
      <c r="D48" s="22" t="s">
        <v>135</v>
      </c>
      <c r="E48" s="22" t="s">
        <v>405</v>
      </c>
      <c r="F48" s="23" t="s">
        <v>215</v>
      </c>
      <c r="G48" s="24" t="s">
        <v>121</v>
      </c>
      <c r="H48" s="24" t="s">
        <v>244</v>
      </c>
      <c r="I48" s="189" t="s">
        <v>514</v>
      </c>
      <c r="J48" s="27">
        <v>1</v>
      </c>
      <c r="K48" s="62" t="s">
        <v>121</v>
      </c>
      <c r="L48" s="62" t="s">
        <v>271</v>
      </c>
      <c r="M48" s="63" t="s">
        <v>132</v>
      </c>
    </row>
    <row r="49" spans="1:13" ht="25.5" x14ac:dyDescent="0.25">
      <c r="A49" s="19" t="str">
        <f t="shared" si="4"/>
        <v>U0557-1008/ST15U (DC 1,5% ultimo vrijwillig)</v>
      </c>
      <c r="B49" s="20" t="s">
        <v>408</v>
      </c>
      <c r="C49" s="21" t="s">
        <v>212</v>
      </c>
      <c r="D49" s="22" t="s">
        <v>140</v>
      </c>
      <c r="E49" s="22" t="s">
        <v>406</v>
      </c>
      <c r="F49" s="23" t="s">
        <v>215</v>
      </c>
      <c r="G49" s="24" t="s">
        <v>121</v>
      </c>
      <c r="H49" s="24" t="s">
        <v>244</v>
      </c>
      <c r="I49" s="189" t="s">
        <v>514</v>
      </c>
      <c r="J49" s="27">
        <v>1</v>
      </c>
      <c r="K49" s="62" t="s">
        <v>121</v>
      </c>
      <c r="L49" s="62" t="s">
        <v>125</v>
      </c>
      <c r="M49" s="63" t="s">
        <v>387</v>
      </c>
    </row>
    <row r="50" spans="1:13" ht="25.5" x14ac:dyDescent="0.25">
      <c r="A50" s="19" t="str">
        <f t="shared" si="3"/>
        <v>U0557-1005/ST20 (DC 2% primo vrijwillig)</v>
      </c>
      <c r="B50" s="20" t="s">
        <v>293</v>
      </c>
      <c r="C50" s="21" t="s">
        <v>212</v>
      </c>
      <c r="D50" s="22" t="s">
        <v>135</v>
      </c>
      <c r="E50" s="22" t="s">
        <v>136</v>
      </c>
      <c r="F50" s="23" t="s">
        <v>215</v>
      </c>
      <c r="G50" s="24" t="s">
        <v>121</v>
      </c>
      <c r="H50" s="24" t="s">
        <v>244</v>
      </c>
      <c r="I50" s="185" t="s">
        <v>515</v>
      </c>
      <c r="J50" s="27">
        <v>1</v>
      </c>
      <c r="K50" s="24" t="s">
        <v>121</v>
      </c>
      <c r="L50" s="24" t="s">
        <v>271</v>
      </c>
      <c r="M50" s="28" t="s">
        <v>132</v>
      </c>
    </row>
    <row r="51" spans="1:13" ht="25.5" x14ac:dyDescent="0.25">
      <c r="A51" s="19" t="str">
        <f>D51&amp;"/"&amp;E51&amp;" ("&amp;B51&amp;")"</f>
        <v>U0557-1008/ST20U (DC 2% ultimo vrijwillig)</v>
      </c>
      <c r="B51" s="20" t="s">
        <v>403</v>
      </c>
      <c r="C51" s="82" t="s">
        <v>212</v>
      </c>
      <c r="D51" s="58" t="s">
        <v>140</v>
      </c>
      <c r="E51" s="58" t="s">
        <v>385</v>
      </c>
      <c r="F51" s="23" t="s">
        <v>386</v>
      </c>
      <c r="G51" s="62" t="s">
        <v>121</v>
      </c>
      <c r="H51" s="62" t="s">
        <v>244</v>
      </c>
      <c r="I51" s="189" t="s">
        <v>515</v>
      </c>
      <c r="J51" s="27">
        <v>1</v>
      </c>
      <c r="K51" s="62" t="s">
        <v>121</v>
      </c>
      <c r="L51" s="62" t="s">
        <v>271</v>
      </c>
      <c r="M51" s="63" t="s">
        <v>387</v>
      </c>
    </row>
    <row r="52" spans="1:13" ht="25.5" x14ac:dyDescent="0.25">
      <c r="A52" s="19" t="str">
        <f t="shared" si="3"/>
        <v>U0557-1005/ST25 (DC 2,5% primo vrijwillig)</v>
      </c>
      <c r="B52" s="20" t="s">
        <v>294</v>
      </c>
      <c r="C52" s="21" t="s">
        <v>212</v>
      </c>
      <c r="D52" s="22" t="s">
        <v>135</v>
      </c>
      <c r="E52" s="22" t="s">
        <v>137</v>
      </c>
      <c r="F52" s="23" t="s">
        <v>216</v>
      </c>
      <c r="G52" s="24" t="s">
        <v>121</v>
      </c>
      <c r="H52" s="24" t="s">
        <v>244</v>
      </c>
      <c r="I52" s="185" t="s">
        <v>516</v>
      </c>
      <c r="J52" s="27">
        <v>1</v>
      </c>
      <c r="K52" s="24" t="s">
        <v>121</v>
      </c>
      <c r="L52" s="24" t="s">
        <v>271</v>
      </c>
      <c r="M52" s="28" t="s">
        <v>132</v>
      </c>
    </row>
    <row r="53" spans="1:13" ht="25.5" x14ac:dyDescent="0.25">
      <c r="A53" s="19" t="str">
        <f>D53&amp;"/"&amp;E53&amp;" ("&amp;B53&amp;")"</f>
        <v>U0557-1008/ST25U (DC 2,5% ultimo vrijwillig)</v>
      </c>
      <c r="B53" s="20" t="s">
        <v>399</v>
      </c>
      <c r="C53" s="21" t="s">
        <v>212</v>
      </c>
      <c r="D53" s="58" t="s">
        <v>140</v>
      </c>
      <c r="E53" s="58" t="s">
        <v>400</v>
      </c>
      <c r="F53" s="23" t="s">
        <v>401</v>
      </c>
      <c r="G53" s="62" t="s">
        <v>121</v>
      </c>
      <c r="H53" s="62" t="s">
        <v>244</v>
      </c>
      <c r="I53" s="189" t="s">
        <v>516</v>
      </c>
      <c r="J53" s="27">
        <v>1</v>
      </c>
      <c r="K53" s="62" t="s">
        <v>121</v>
      </c>
      <c r="L53" s="62" t="s">
        <v>271</v>
      </c>
      <c r="M53" s="63" t="s">
        <v>387</v>
      </c>
    </row>
    <row r="54" spans="1:13" ht="25.5" x14ac:dyDescent="0.25">
      <c r="A54" s="19" t="str">
        <f t="shared" si="3"/>
        <v>U0557-1005/ST30 (DC 3% primo vrijwillig)</v>
      </c>
      <c r="B54" s="20" t="s">
        <v>295</v>
      </c>
      <c r="C54" s="21" t="s">
        <v>212</v>
      </c>
      <c r="D54" s="22" t="s">
        <v>135</v>
      </c>
      <c r="E54" s="22" t="s">
        <v>120</v>
      </c>
      <c r="F54" s="23" t="s">
        <v>217</v>
      </c>
      <c r="G54" s="24" t="s">
        <v>121</v>
      </c>
      <c r="H54" s="24" t="s">
        <v>244</v>
      </c>
      <c r="I54" s="185" t="s">
        <v>513</v>
      </c>
      <c r="J54" s="27">
        <v>1</v>
      </c>
      <c r="K54" s="24" t="s">
        <v>121</v>
      </c>
      <c r="L54" s="24" t="s">
        <v>271</v>
      </c>
      <c r="M54" s="28" t="s">
        <v>132</v>
      </c>
    </row>
    <row r="55" spans="1:13" ht="25.5" x14ac:dyDescent="0.25">
      <c r="A55" s="19" t="str">
        <f>D55&amp;"/"&amp;E55&amp;" ("&amp;B55&amp;")"</f>
        <v>U0557-1008/ST30 (DC 3% ultimo vrijwillig)</v>
      </c>
      <c r="B55" s="20" t="s">
        <v>448</v>
      </c>
      <c r="C55" s="82" t="s">
        <v>212</v>
      </c>
      <c r="D55" s="58" t="s">
        <v>140</v>
      </c>
      <c r="E55" s="58" t="s">
        <v>120</v>
      </c>
      <c r="F55" s="23" t="s">
        <v>221</v>
      </c>
      <c r="G55" s="62" t="s">
        <v>121</v>
      </c>
      <c r="H55" s="62" t="s">
        <v>244</v>
      </c>
      <c r="I55" s="189" t="s">
        <v>513</v>
      </c>
      <c r="J55" s="27">
        <v>1</v>
      </c>
      <c r="K55" s="62" t="s">
        <v>121</v>
      </c>
      <c r="L55" s="62" t="s">
        <v>271</v>
      </c>
      <c r="M55" s="63" t="s">
        <v>387</v>
      </c>
    </row>
    <row r="56" spans="1:13" ht="25.5" x14ac:dyDescent="0.25">
      <c r="A56" s="19" t="str">
        <f t="shared" si="3"/>
        <v>U0557-1005/ST40 (DC 4% primo vrijwillig)</v>
      </c>
      <c r="B56" s="20" t="s">
        <v>296</v>
      </c>
      <c r="C56" s="21" t="s">
        <v>212</v>
      </c>
      <c r="D56" s="22" t="s">
        <v>135</v>
      </c>
      <c r="E56" s="22" t="s">
        <v>138</v>
      </c>
      <c r="F56" s="23" t="s">
        <v>218</v>
      </c>
      <c r="G56" s="24" t="s">
        <v>121</v>
      </c>
      <c r="H56" s="24" t="s">
        <v>244</v>
      </c>
      <c r="I56" s="185" t="s">
        <v>517</v>
      </c>
      <c r="J56" s="27">
        <v>1</v>
      </c>
      <c r="K56" s="24" t="s">
        <v>121</v>
      </c>
      <c r="L56" s="24" t="s">
        <v>271</v>
      </c>
      <c r="M56" s="28" t="s">
        <v>132</v>
      </c>
    </row>
    <row r="57" spans="1:13" ht="25.5" x14ac:dyDescent="0.25">
      <c r="A57" s="19" t="str">
        <f>D57&amp;"/"&amp;E57&amp;" ("&amp;B57&amp;")"</f>
        <v>U0557-1008/ST40U (DC 4% ultimo vrijwillig)</v>
      </c>
      <c r="B57" s="20" t="s">
        <v>402</v>
      </c>
      <c r="C57" s="82" t="s">
        <v>212</v>
      </c>
      <c r="D57" s="58" t="s">
        <v>140</v>
      </c>
      <c r="E57" s="58" t="s">
        <v>388</v>
      </c>
      <c r="F57" s="23" t="s">
        <v>416</v>
      </c>
      <c r="G57" s="62" t="s">
        <v>121</v>
      </c>
      <c r="H57" s="62" t="s">
        <v>244</v>
      </c>
      <c r="I57" s="189" t="s">
        <v>517</v>
      </c>
      <c r="J57" s="27">
        <v>1</v>
      </c>
      <c r="K57" s="62" t="s">
        <v>121</v>
      </c>
      <c r="L57" s="62" t="s">
        <v>271</v>
      </c>
      <c r="M57" s="63" t="s">
        <v>387</v>
      </c>
    </row>
    <row r="58" spans="1:13" ht="51" x14ac:dyDescent="0.25">
      <c r="A58" s="19" t="str">
        <f t="shared" si="3"/>
        <v>U0557-2002/PRIMO ()</v>
      </c>
      <c r="B58" s="20"/>
      <c r="C58" s="21" t="s">
        <v>212</v>
      </c>
      <c r="D58" s="22" t="s">
        <v>122</v>
      </c>
      <c r="E58" s="22" t="s">
        <v>139</v>
      </c>
      <c r="F58" s="23" t="s">
        <v>219</v>
      </c>
      <c r="G58" s="185">
        <v>433007</v>
      </c>
      <c r="H58" s="69">
        <v>1.2999999999999999E-2</v>
      </c>
      <c r="I58" s="62"/>
      <c r="J58" s="26"/>
      <c r="K58" s="185">
        <v>75864</v>
      </c>
      <c r="L58" s="24"/>
      <c r="M58" s="28" t="s">
        <v>272</v>
      </c>
    </row>
    <row r="59" spans="1:13" ht="51" x14ac:dyDescent="0.25">
      <c r="A59" s="19" t="str">
        <f t="shared" si="3"/>
        <v>U0557-2003/PRIMO ()</v>
      </c>
      <c r="B59" s="20"/>
      <c r="C59" s="21" t="s">
        <v>212</v>
      </c>
      <c r="D59" s="22" t="s">
        <v>124</v>
      </c>
      <c r="E59" s="22" t="s">
        <v>139</v>
      </c>
      <c r="F59" s="23" t="s">
        <v>220</v>
      </c>
      <c r="G59" s="23" t="s">
        <v>125</v>
      </c>
      <c r="H59" s="26">
        <v>1.2E-2</v>
      </c>
      <c r="I59" s="62"/>
      <c r="J59" s="26"/>
      <c r="K59" s="29" t="s">
        <v>125</v>
      </c>
      <c r="L59" s="29"/>
      <c r="M59" s="28" t="s">
        <v>272</v>
      </c>
    </row>
    <row r="60" spans="1:13" ht="25.5" x14ac:dyDescent="0.25">
      <c r="A60" s="19" t="str">
        <f t="shared" ref="A60:A61" si="5">D60&amp;"/"&amp;E60&amp;" ("&amp;B60&amp;")"</f>
        <v>U0557-1005/VLPP (DC primo vlakke premie)</v>
      </c>
      <c r="B60" s="20" t="s">
        <v>396</v>
      </c>
      <c r="C60" s="82" t="s">
        <v>392</v>
      </c>
      <c r="D60" s="58" t="s">
        <v>135</v>
      </c>
      <c r="E60" s="58" t="s">
        <v>389</v>
      </c>
      <c r="F60" s="61" t="s">
        <v>391</v>
      </c>
      <c r="G60" s="62" t="s">
        <v>121</v>
      </c>
      <c r="H60" s="26">
        <v>0.187</v>
      </c>
      <c r="I60" s="62" t="s">
        <v>457</v>
      </c>
      <c r="J60" s="27">
        <v>1</v>
      </c>
      <c r="K60" s="182">
        <v>0</v>
      </c>
      <c r="L60" s="66" t="s">
        <v>271</v>
      </c>
      <c r="M60" s="63" t="s">
        <v>132</v>
      </c>
    </row>
    <row r="61" spans="1:13" ht="25.5" x14ac:dyDescent="0.25">
      <c r="A61" s="19" t="str">
        <f t="shared" si="5"/>
        <v>U0557-1008/VLPU (DC ultimo vlakke premie)</v>
      </c>
      <c r="B61" s="20" t="s">
        <v>397</v>
      </c>
      <c r="C61" s="82" t="s">
        <v>392</v>
      </c>
      <c r="D61" s="58" t="s">
        <v>140</v>
      </c>
      <c r="E61" s="58" t="s">
        <v>390</v>
      </c>
      <c r="F61" s="61" t="s">
        <v>393</v>
      </c>
      <c r="G61" s="62" t="s">
        <v>121</v>
      </c>
      <c r="H61" s="26">
        <v>0.187</v>
      </c>
      <c r="I61" s="62" t="s">
        <v>457</v>
      </c>
      <c r="J61" s="27">
        <v>1</v>
      </c>
      <c r="K61" s="182">
        <v>0</v>
      </c>
      <c r="L61" s="66" t="s">
        <v>271</v>
      </c>
      <c r="M61" s="63" t="s">
        <v>387</v>
      </c>
    </row>
    <row r="62" spans="1:13" x14ac:dyDescent="0.25">
      <c r="A62" s="19" t="str">
        <f t="shared" si="3"/>
        <v>U0557-2002/WIAP ()</v>
      </c>
      <c r="B62" s="20"/>
      <c r="C62" s="21" t="s">
        <v>222</v>
      </c>
      <c r="D62" s="22" t="s">
        <v>122</v>
      </c>
      <c r="E62" s="22" t="s">
        <v>223</v>
      </c>
      <c r="F62" s="23" t="s">
        <v>224</v>
      </c>
      <c r="G62" s="185">
        <f>G58</f>
        <v>433007</v>
      </c>
      <c r="H62" s="69">
        <f>H58</f>
        <v>1.2999999999999999E-2</v>
      </c>
      <c r="I62" s="62"/>
      <c r="J62" s="26"/>
      <c r="K62" s="185">
        <f>K58</f>
        <v>75864</v>
      </c>
      <c r="L62" s="66"/>
      <c r="M62" s="28" t="s">
        <v>132</v>
      </c>
    </row>
    <row r="63" spans="1:13" x14ac:dyDescent="0.25">
      <c r="A63" s="19" t="str">
        <f t="shared" si="3"/>
        <v>U0557-2002/WIAP2 ()</v>
      </c>
      <c r="B63" s="20"/>
      <c r="C63" s="21" t="s">
        <v>222</v>
      </c>
      <c r="D63" s="58" t="s">
        <v>122</v>
      </c>
      <c r="E63" s="58" t="s">
        <v>452</v>
      </c>
      <c r="F63" s="23" t="s">
        <v>224</v>
      </c>
      <c r="G63" s="185">
        <f>G58</f>
        <v>433007</v>
      </c>
      <c r="H63" s="69">
        <f>H58</f>
        <v>1.2999999999999999E-2</v>
      </c>
      <c r="I63" s="62"/>
      <c r="J63" s="62"/>
      <c r="K63" s="185">
        <f>K58</f>
        <v>75864</v>
      </c>
      <c r="L63" s="66"/>
      <c r="M63" s="63" t="s">
        <v>132</v>
      </c>
    </row>
    <row r="64" spans="1:13" x14ac:dyDescent="0.25">
      <c r="A64" s="19" t="str">
        <f t="shared" si="3"/>
        <v>U0557-2002/WIAU ()</v>
      </c>
      <c r="B64" s="20"/>
      <c r="C64" s="21" t="s">
        <v>222</v>
      </c>
      <c r="D64" s="22" t="s">
        <v>122</v>
      </c>
      <c r="E64" s="22" t="s">
        <v>225</v>
      </c>
      <c r="F64" s="23" t="s">
        <v>226</v>
      </c>
      <c r="G64" s="185">
        <f>G58</f>
        <v>433007</v>
      </c>
      <c r="H64" s="69">
        <f>H58</f>
        <v>1.2999999999999999E-2</v>
      </c>
      <c r="I64" s="62"/>
      <c r="J64" s="26"/>
      <c r="K64" s="185">
        <f>K58</f>
        <v>75864</v>
      </c>
      <c r="L64" s="66"/>
      <c r="M64" s="28" t="s">
        <v>387</v>
      </c>
    </row>
    <row r="65" spans="1:13" x14ac:dyDescent="0.25">
      <c r="A65" s="19" t="str">
        <f t="shared" si="3"/>
        <v>U0557-2003/ANWC ()</v>
      </c>
      <c r="B65" s="20"/>
      <c r="C65" s="21" t="s">
        <v>222</v>
      </c>
      <c r="D65" s="22" t="s">
        <v>124</v>
      </c>
      <c r="E65" s="22" t="s">
        <v>227</v>
      </c>
      <c r="F65" s="23" t="s">
        <v>228</v>
      </c>
      <c r="G65" s="23" t="s">
        <v>125</v>
      </c>
      <c r="H65" s="25">
        <v>1.2E-2</v>
      </c>
      <c r="I65" s="62"/>
      <c r="J65" s="25"/>
      <c r="K65" s="23" t="s">
        <v>125</v>
      </c>
      <c r="L65" s="66" t="s">
        <v>271</v>
      </c>
      <c r="M65" s="28" t="s">
        <v>272</v>
      </c>
    </row>
    <row r="66" spans="1:13" x14ac:dyDescent="0.25">
      <c r="A66" s="19" t="str">
        <f t="shared" ref="A66" si="6">D66&amp;"/"&amp;E66&amp;" ("&amp;B66&amp;")"</f>
        <v>U0557-2003/ANWC2 ()</v>
      </c>
      <c r="B66" s="20"/>
      <c r="C66" s="21" t="s">
        <v>222</v>
      </c>
      <c r="D66" s="22" t="s">
        <v>124</v>
      </c>
      <c r="E66" s="22" t="s">
        <v>453</v>
      </c>
      <c r="F66" s="23" t="s">
        <v>228</v>
      </c>
      <c r="G66" s="23" t="s">
        <v>125</v>
      </c>
      <c r="H66" s="25">
        <v>1.2E-2</v>
      </c>
      <c r="I66" s="62"/>
      <c r="J66" s="25"/>
      <c r="K66" s="23" t="s">
        <v>125</v>
      </c>
      <c r="L66" s="66" t="s">
        <v>271</v>
      </c>
      <c r="M66" s="28" t="s">
        <v>272</v>
      </c>
    </row>
    <row r="67" spans="1:13" ht="63.75" x14ac:dyDescent="0.25">
      <c r="A67" s="19" t="str">
        <f t="shared" si="3"/>
        <v>U0557-2005/AP35P ()</v>
      </c>
      <c r="B67" s="20"/>
      <c r="C67" s="21" t="s">
        <v>222</v>
      </c>
      <c r="D67" s="22" t="s">
        <v>141</v>
      </c>
      <c r="E67" s="22" t="s">
        <v>277</v>
      </c>
      <c r="F67" s="23" t="s">
        <v>278</v>
      </c>
      <c r="G67" s="24" t="s">
        <v>142</v>
      </c>
      <c r="H67" s="24" t="s">
        <v>143</v>
      </c>
      <c r="I67" s="62"/>
      <c r="J67" s="24"/>
      <c r="K67" s="24" t="s">
        <v>142</v>
      </c>
      <c r="L67" s="66" t="s">
        <v>398</v>
      </c>
      <c r="M67" s="28" t="s">
        <v>132</v>
      </c>
    </row>
    <row r="68" spans="1:13" ht="63.75" x14ac:dyDescent="0.25">
      <c r="A68" s="19" t="str">
        <f t="shared" si="3"/>
        <v>U0557-2005/AP70P ()</v>
      </c>
      <c r="B68" s="20"/>
      <c r="C68" s="21" t="s">
        <v>222</v>
      </c>
      <c r="D68" s="22" t="s">
        <v>141</v>
      </c>
      <c r="E68" s="22" t="s">
        <v>279</v>
      </c>
      <c r="F68" s="23" t="s">
        <v>280</v>
      </c>
      <c r="G68" s="24" t="s">
        <v>142</v>
      </c>
      <c r="H68" s="24" t="s">
        <v>143</v>
      </c>
      <c r="I68" s="62"/>
      <c r="J68" s="24"/>
      <c r="K68" s="24" t="s">
        <v>142</v>
      </c>
      <c r="L68" s="66" t="s">
        <v>398</v>
      </c>
      <c r="M68" s="28" t="s">
        <v>132</v>
      </c>
    </row>
    <row r="69" spans="1:13" ht="63.75" x14ac:dyDescent="0.25">
      <c r="A69" s="19" t="str">
        <f t="shared" si="3"/>
        <v>U0557-2005/AP35U ()</v>
      </c>
      <c r="B69" s="20"/>
      <c r="C69" s="21" t="s">
        <v>222</v>
      </c>
      <c r="D69" s="22" t="s">
        <v>141</v>
      </c>
      <c r="E69" s="22" t="s">
        <v>281</v>
      </c>
      <c r="F69" s="23" t="s">
        <v>282</v>
      </c>
      <c r="G69" s="24" t="s">
        <v>142</v>
      </c>
      <c r="H69" s="24" t="s">
        <v>143</v>
      </c>
      <c r="I69" s="62"/>
      <c r="J69" s="24"/>
      <c r="K69" s="24" t="s">
        <v>142</v>
      </c>
      <c r="L69" s="66" t="s">
        <v>398</v>
      </c>
      <c r="M69" s="28" t="s">
        <v>387</v>
      </c>
    </row>
    <row r="70" spans="1:13" ht="63.75" x14ac:dyDescent="0.25">
      <c r="A70" s="19" t="str">
        <f t="shared" si="3"/>
        <v>U0557-2005/AP70U ()</v>
      </c>
      <c r="B70" s="20"/>
      <c r="C70" s="21" t="s">
        <v>222</v>
      </c>
      <c r="D70" s="22" t="s">
        <v>141</v>
      </c>
      <c r="E70" s="22" t="s">
        <v>283</v>
      </c>
      <c r="F70" s="23" t="s">
        <v>284</v>
      </c>
      <c r="G70" s="24" t="s">
        <v>142</v>
      </c>
      <c r="H70" s="24" t="s">
        <v>143</v>
      </c>
      <c r="I70" s="62"/>
      <c r="J70" s="24"/>
      <c r="K70" s="24" t="s">
        <v>142</v>
      </c>
      <c r="L70" s="66" t="s">
        <v>398</v>
      </c>
      <c r="M70" s="28" t="s">
        <v>387</v>
      </c>
    </row>
    <row r="71" spans="1:13" ht="25.5" x14ac:dyDescent="0.25">
      <c r="A71" s="19" t="str">
        <f>D71&amp;"/"&amp;E71&amp;" ("&amp;B71&amp;")"</f>
        <v>U0557-2007/PGBP ()</v>
      </c>
      <c r="B71" s="20"/>
      <c r="C71" s="21" t="s">
        <v>222</v>
      </c>
      <c r="D71" s="92" t="s">
        <v>144</v>
      </c>
      <c r="E71" s="92" t="s">
        <v>455</v>
      </c>
      <c r="F71" s="61"/>
      <c r="G71" s="24" t="s">
        <v>125</v>
      </c>
      <c r="H71" s="24" t="s">
        <v>145</v>
      </c>
      <c r="I71" s="62"/>
      <c r="J71" s="62"/>
      <c r="K71" s="24" t="s">
        <v>125</v>
      </c>
      <c r="L71" s="66" t="s">
        <v>271</v>
      </c>
      <c r="M71" s="28" t="s">
        <v>271</v>
      </c>
    </row>
    <row r="72" spans="1:13" ht="25.5" x14ac:dyDescent="0.25">
      <c r="A72" s="19" t="str">
        <f>D72&amp;"/"&amp;E72&amp;" ("&amp;B72&amp;")"</f>
        <v>U0557-2007/OPP ()</v>
      </c>
      <c r="B72" s="20"/>
      <c r="C72" s="21" t="s">
        <v>222</v>
      </c>
      <c r="D72" s="92" t="s">
        <v>144</v>
      </c>
      <c r="E72" s="92" t="s">
        <v>456</v>
      </c>
      <c r="F72" s="61"/>
      <c r="G72" s="24" t="s">
        <v>125</v>
      </c>
      <c r="H72" s="24" t="s">
        <v>145</v>
      </c>
      <c r="I72" s="62"/>
      <c r="J72" s="62"/>
      <c r="K72" s="34" t="s">
        <v>125</v>
      </c>
      <c r="L72" s="67" t="s">
        <v>271</v>
      </c>
      <c r="M72" s="28" t="s">
        <v>271</v>
      </c>
    </row>
    <row r="73" spans="1:13" ht="38.25" x14ac:dyDescent="0.25">
      <c r="A73" s="19" t="str">
        <f t="shared" si="3"/>
        <v>U0557-2007/ALG ()</v>
      </c>
      <c r="B73" s="20"/>
      <c r="C73" s="21" t="s">
        <v>222</v>
      </c>
      <c r="D73" s="22" t="s">
        <v>144</v>
      </c>
      <c r="E73" s="22" t="s">
        <v>131</v>
      </c>
      <c r="F73" s="23" t="s">
        <v>229</v>
      </c>
      <c r="G73" s="24" t="s">
        <v>125</v>
      </c>
      <c r="H73" s="24" t="s">
        <v>145</v>
      </c>
      <c r="I73" s="62" t="s">
        <v>409</v>
      </c>
      <c r="J73" s="24"/>
      <c r="K73" s="24" t="s">
        <v>125</v>
      </c>
      <c r="L73" s="66" t="s">
        <v>271</v>
      </c>
      <c r="M73" s="28" t="s">
        <v>271</v>
      </c>
    </row>
    <row r="74" spans="1:13" ht="38.25" x14ac:dyDescent="0.25">
      <c r="A74" s="19" t="str">
        <f t="shared" si="3"/>
        <v>U0557-2008/ALG ()</v>
      </c>
      <c r="B74" s="30"/>
      <c r="C74" s="31" t="s">
        <v>222</v>
      </c>
      <c r="D74" s="32" t="s">
        <v>146</v>
      </c>
      <c r="E74" s="32" t="s">
        <v>131</v>
      </c>
      <c r="F74" s="33" t="s">
        <v>230</v>
      </c>
      <c r="G74" s="34" t="s">
        <v>125</v>
      </c>
      <c r="H74" s="34" t="s">
        <v>145</v>
      </c>
      <c r="I74" s="68" t="s">
        <v>409</v>
      </c>
      <c r="J74" s="34"/>
      <c r="K74" s="34" t="s">
        <v>125</v>
      </c>
      <c r="L74" s="67" t="s">
        <v>271</v>
      </c>
      <c r="M74" s="28" t="s">
        <v>271</v>
      </c>
    </row>
    <row r="75" spans="1:13" ht="51" x14ac:dyDescent="0.25">
      <c r="A75" s="90" t="str">
        <f>D75&amp;"/"&amp;E75&amp;" ("&amp;B75&amp;")"</f>
        <v>U0557-2002/ULTIM ()</v>
      </c>
      <c r="B75" s="83"/>
      <c r="C75" s="82" t="s">
        <v>222</v>
      </c>
      <c r="D75" s="58" t="s">
        <v>122</v>
      </c>
      <c r="E75" s="58" t="s">
        <v>123</v>
      </c>
      <c r="F75" s="61" t="s">
        <v>518</v>
      </c>
      <c r="G75" s="189">
        <v>433007</v>
      </c>
      <c r="H75" s="190">
        <v>1.2999999999999999E-2</v>
      </c>
      <c r="I75" s="62"/>
      <c r="J75" s="62"/>
      <c r="K75" s="189">
        <v>75864</v>
      </c>
      <c r="L75" s="62"/>
      <c r="M75" s="63" t="s">
        <v>454</v>
      </c>
    </row>
    <row r="76" spans="1:13" ht="51" x14ac:dyDescent="0.25">
      <c r="A76" s="91" t="str">
        <f>D76&amp;"/"&amp;E76&amp;" ("&amp;B76&amp;")"</f>
        <v>U0557-2003/ULTIM ()</v>
      </c>
      <c r="B76" s="84"/>
      <c r="C76" s="85" t="s">
        <v>222</v>
      </c>
      <c r="D76" s="86" t="s">
        <v>124</v>
      </c>
      <c r="E76" s="86" t="s">
        <v>123</v>
      </c>
      <c r="F76" s="87" t="s">
        <v>519</v>
      </c>
      <c r="G76" s="68" t="s">
        <v>125</v>
      </c>
      <c r="H76" s="183">
        <v>1.2E-2</v>
      </c>
      <c r="I76" s="88"/>
      <c r="J76" s="88"/>
      <c r="K76" s="68" t="s">
        <v>125</v>
      </c>
      <c r="L76" s="68"/>
      <c r="M76" s="89" t="s">
        <v>125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6D5E4"/>
  </sheetPr>
  <dimension ref="A1:AS30"/>
  <sheetViews>
    <sheetView workbookViewId="0">
      <pane xSplit="1" ySplit="1" topLeftCell="W2" activePane="bottomRight" state="frozen"/>
      <selection pane="topRight" activeCell="B1" sqref="B1"/>
      <selection pane="bottomLeft" activeCell="A2" sqref="A2"/>
      <selection pane="bottomRight" activeCell="AD13" sqref="AD13"/>
    </sheetView>
  </sheetViews>
  <sheetFormatPr defaultColWidth="9.28515625" defaultRowHeight="15" x14ac:dyDescent="0.25"/>
  <cols>
    <col min="1" max="1" width="14.5703125" style="4" bestFit="1" customWidth="1"/>
    <col min="2" max="5" width="13.5703125" style="4" bestFit="1" customWidth="1"/>
    <col min="6" max="11" width="13.5703125" style="4" customWidth="1"/>
    <col min="12" max="43" width="15.42578125" style="4" customWidth="1"/>
    <col min="44" max="45" width="16.5703125" style="4" bestFit="1" customWidth="1"/>
    <col min="46" max="16384" width="9.28515625" style="4"/>
  </cols>
  <sheetData>
    <row r="1" spans="1:45" x14ac:dyDescent="0.25">
      <c r="A1" s="13" t="s">
        <v>239</v>
      </c>
      <c r="B1" s="14" t="s">
        <v>248</v>
      </c>
      <c r="C1" s="15" t="s">
        <v>249</v>
      </c>
      <c r="D1" s="15" t="s">
        <v>250</v>
      </c>
      <c r="E1" s="15" t="s">
        <v>251</v>
      </c>
      <c r="F1" s="14" t="s">
        <v>252</v>
      </c>
      <c r="G1" s="15" t="s">
        <v>253</v>
      </c>
      <c r="H1" s="15" t="s">
        <v>254</v>
      </c>
      <c r="I1" s="15" t="s">
        <v>255</v>
      </c>
      <c r="J1" s="15" t="s">
        <v>379</v>
      </c>
      <c r="K1" s="15" t="s">
        <v>380</v>
      </c>
      <c r="L1" s="15" t="s">
        <v>331</v>
      </c>
      <c r="M1" s="15" t="s">
        <v>332</v>
      </c>
      <c r="N1" s="15" t="s">
        <v>333</v>
      </c>
      <c r="O1" s="15" t="s">
        <v>334</v>
      </c>
      <c r="P1" s="15" t="s">
        <v>335</v>
      </c>
      <c r="Q1" s="15" t="s">
        <v>336</v>
      </c>
      <c r="R1" s="15" t="s">
        <v>337</v>
      </c>
      <c r="S1" s="15" t="s">
        <v>338</v>
      </c>
      <c r="T1" s="15" t="s">
        <v>371</v>
      </c>
      <c r="U1" s="15" t="s">
        <v>373</v>
      </c>
      <c r="V1" s="15" t="s">
        <v>372</v>
      </c>
      <c r="W1" s="15" t="s">
        <v>374</v>
      </c>
      <c r="X1" s="15" t="s">
        <v>404</v>
      </c>
      <c r="Y1" s="15" t="s">
        <v>375</v>
      </c>
      <c r="Z1" s="15" t="s">
        <v>376</v>
      </c>
      <c r="AA1" s="15" t="s">
        <v>377</v>
      </c>
      <c r="AB1" s="15" t="s">
        <v>378</v>
      </c>
      <c r="AC1" s="15" t="s">
        <v>411</v>
      </c>
      <c r="AD1" s="15" t="s">
        <v>412</v>
      </c>
      <c r="AE1" s="15" t="s">
        <v>413</v>
      </c>
      <c r="AF1" s="15" t="s">
        <v>414</v>
      </c>
      <c r="AG1" s="15" t="s">
        <v>415</v>
      </c>
      <c r="AH1" s="178" t="s">
        <v>505</v>
      </c>
      <c r="AI1" s="178" t="s">
        <v>506</v>
      </c>
      <c r="AJ1" s="178" t="s">
        <v>507</v>
      </c>
      <c r="AK1" s="178" t="s">
        <v>508</v>
      </c>
      <c r="AL1" s="178" t="s">
        <v>509</v>
      </c>
      <c r="AM1" s="178" t="s">
        <v>514</v>
      </c>
      <c r="AN1" s="178" t="s">
        <v>515</v>
      </c>
      <c r="AO1" s="178" t="s">
        <v>516</v>
      </c>
      <c r="AP1" s="178" t="s">
        <v>513</v>
      </c>
      <c r="AQ1" s="178" t="s">
        <v>517</v>
      </c>
      <c r="AR1" s="15" t="s">
        <v>256</v>
      </c>
      <c r="AS1" s="15" t="s">
        <v>257</v>
      </c>
    </row>
    <row r="2" spans="1:45" x14ac:dyDescent="0.25">
      <c r="A2" s="13">
        <v>15</v>
      </c>
      <c r="B2" s="16">
        <v>0.14499999999999999</v>
      </c>
      <c r="C2" s="16">
        <v>0.106</v>
      </c>
      <c r="D2" s="16">
        <v>7.2000000000000008E-2</v>
      </c>
      <c r="E2" s="16">
        <v>4.0999999999999995E-2</v>
      </c>
      <c r="F2" s="16">
        <v>0.14000000000000001</v>
      </c>
      <c r="G2" s="16">
        <v>0.10199999999999999</v>
      </c>
      <c r="H2" s="17">
        <v>6.9000000000000006E-2</v>
      </c>
      <c r="I2" s="16">
        <v>3.9E-2</v>
      </c>
      <c r="J2" s="17">
        <v>7.0000000000000007E-2</v>
      </c>
      <c r="K2" s="17">
        <v>7.0000000000000007E-2</v>
      </c>
      <c r="L2" s="17">
        <v>0.14000000000000001</v>
      </c>
      <c r="M2" s="17">
        <v>0.10199999999999999</v>
      </c>
      <c r="N2" s="17">
        <v>6.9000000000000006E-2</v>
      </c>
      <c r="O2" s="17">
        <v>3.9E-2</v>
      </c>
      <c r="P2" s="17">
        <v>0.14000000000000001</v>
      </c>
      <c r="Q2" s="17">
        <v>0.10199999999999999</v>
      </c>
      <c r="R2" s="17">
        <v>6.9000000000000006E-2</v>
      </c>
      <c r="S2" s="17">
        <v>3.9E-2</v>
      </c>
      <c r="T2" s="17">
        <v>0.14000000000000001</v>
      </c>
      <c r="U2" s="17">
        <v>0.10199999999999999</v>
      </c>
      <c r="V2" s="17">
        <v>7.0000000000000007E-2</v>
      </c>
      <c r="W2" s="17">
        <v>3.9E-2</v>
      </c>
      <c r="X2" s="17"/>
      <c r="Y2" s="17">
        <v>0.14000000000000001</v>
      </c>
      <c r="Z2" s="17">
        <v>0.10199999999999999</v>
      </c>
      <c r="AA2" s="17">
        <v>7.0000000000000007E-2</v>
      </c>
      <c r="AB2" s="17">
        <v>3.9E-2</v>
      </c>
      <c r="AC2" s="17">
        <v>0.19900000000000001</v>
      </c>
      <c r="AD2" s="17">
        <v>0.14000000000000001</v>
      </c>
      <c r="AE2" s="17">
        <v>0.10199999999999999</v>
      </c>
      <c r="AF2" s="17">
        <v>7.0000000000000007E-2</v>
      </c>
      <c r="AG2" s="17">
        <v>3.9E-2</v>
      </c>
      <c r="AH2" s="17">
        <v>0.19900000000000001</v>
      </c>
      <c r="AI2" s="17">
        <v>0.14000000000000001</v>
      </c>
      <c r="AJ2" s="17">
        <v>0.10199999999999999</v>
      </c>
      <c r="AK2" s="17">
        <v>7.0000000000000007E-2</v>
      </c>
      <c r="AL2" s="17">
        <v>3.9E-2</v>
      </c>
      <c r="AM2" s="17">
        <v>0.19900000000000001</v>
      </c>
      <c r="AN2" s="17">
        <v>0.14000000000000001</v>
      </c>
      <c r="AO2" s="17">
        <v>0.10199999999999999</v>
      </c>
      <c r="AP2" s="17">
        <v>7.0000000000000007E-2</v>
      </c>
      <c r="AQ2" s="17">
        <v>3.9E-2</v>
      </c>
      <c r="AR2" s="7">
        <v>0.1</v>
      </c>
      <c r="AS2" s="7">
        <v>0.1</v>
      </c>
    </row>
    <row r="3" spans="1:45" x14ac:dyDescent="0.25">
      <c r="A3" s="13">
        <v>20</v>
      </c>
      <c r="B3" s="16">
        <v>0.158</v>
      </c>
      <c r="C3" s="16">
        <v>0.11800000000000001</v>
      </c>
      <c r="D3" s="16">
        <v>0.08</v>
      </c>
      <c r="E3" s="16">
        <v>4.7E-2</v>
      </c>
      <c r="F3" s="16">
        <v>0.153</v>
      </c>
      <c r="G3" s="16">
        <v>0.114</v>
      </c>
      <c r="H3" s="17">
        <v>7.6999999999999999E-2</v>
      </c>
      <c r="I3" s="16">
        <v>4.3999999999999997E-2</v>
      </c>
      <c r="J3" s="17">
        <v>7.6999999999999999E-2</v>
      </c>
      <c r="K3" s="17">
        <v>7.6999999999999999E-2</v>
      </c>
      <c r="L3" s="17">
        <v>0.153</v>
      </c>
      <c r="M3" s="17">
        <v>0.114</v>
      </c>
      <c r="N3" s="17">
        <v>7.6999999999999999E-2</v>
      </c>
      <c r="O3" s="17">
        <v>4.3999999999999997E-2</v>
      </c>
      <c r="P3" s="17">
        <v>0.153</v>
      </c>
      <c r="Q3" s="17">
        <v>0.114</v>
      </c>
      <c r="R3" s="17">
        <v>7.6999999999999999E-2</v>
      </c>
      <c r="S3" s="17">
        <v>4.3999999999999997E-2</v>
      </c>
      <c r="T3" s="17">
        <v>0.153</v>
      </c>
      <c r="U3" s="17">
        <v>0.114</v>
      </c>
      <c r="V3" s="17">
        <v>7.6999999999999999E-2</v>
      </c>
      <c r="W3" s="17">
        <v>4.3999999999999997E-2</v>
      </c>
      <c r="X3" s="17">
        <v>0.21199999999999999</v>
      </c>
      <c r="Y3" s="17">
        <v>0.153</v>
      </c>
      <c r="Z3" s="17">
        <v>0.114</v>
      </c>
      <c r="AA3" s="17">
        <v>7.6999999999999999E-2</v>
      </c>
      <c r="AB3" s="17">
        <v>4.3999999999999997E-2</v>
      </c>
      <c r="AC3" s="17">
        <v>0.21199999999999999</v>
      </c>
      <c r="AD3" s="17">
        <v>0.153</v>
      </c>
      <c r="AE3" s="17">
        <v>0.114</v>
      </c>
      <c r="AF3" s="17">
        <v>7.6999999999999999E-2</v>
      </c>
      <c r="AG3" s="17">
        <v>4.3999999999999997E-2</v>
      </c>
      <c r="AH3" s="17">
        <v>0.21199999999999999</v>
      </c>
      <c r="AI3" s="17">
        <v>0.153</v>
      </c>
      <c r="AJ3" s="17">
        <v>0.114</v>
      </c>
      <c r="AK3" s="17">
        <v>7.8E-2</v>
      </c>
      <c r="AL3" s="17">
        <v>4.4999999999999998E-2</v>
      </c>
      <c r="AM3" s="17">
        <v>0.21199999999999999</v>
      </c>
      <c r="AN3" s="17">
        <v>0.153</v>
      </c>
      <c r="AO3" s="17">
        <v>0.114</v>
      </c>
      <c r="AP3" s="17">
        <v>7.8E-2</v>
      </c>
      <c r="AQ3" s="17">
        <v>4.4999999999999998E-2</v>
      </c>
      <c r="AR3" s="7">
        <v>0.1</v>
      </c>
      <c r="AS3" s="7">
        <v>0.1</v>
      </c>
    </row>
    <row r="4" spans="1:45" x14ac:dyDescent="0.25">
      <c r="A4" s="13">
        <v>25</v>
      </c>
      <c r="B4" s="16">
        <v>0.17100000000000001</v>
      </c>
      <c r="C4" s="16">
        <v>0.13200000000000001</v>
      </c>
      <c r="D4" s="16">
        <v>9.3000000000000013E-2</v>
      </c>
      <c r="E4" s="16">
        <v>5.7000000000000002E-2</v>
      </c>
      <c r="F4" s="16">
        <v>0.16600000000000001</v>
      </c>
      <c r="G4" s="16">
        <v>0.128</v>
      </c>
      <c r="H4" s="17">
        <v>8.8999999999999996E-2</v>
      </c>
      <c r="I4" s="16">
        <v>5.3999999999999999E-2</v>
      </c>
      <c r="J4" s="17">
        <v>0.09</v>
      </c>
      <c r="K4" s="17">
        <v>0.09</v>
      </c>
      <c r="L4" s="17">
        <v>0.16600000000000001</v>
      </c>
      <c r="M4" s="17">
        <v>0.128</v>
      </c>
      <c r="N4" s="17">
        <v>8.8999999999999996E-2</v>
      </c>
      <c r="O4" s="17">
        <v>5.3999999999999999E-2</v>
      </c>
      <c r="P4" s="17">
        <v>0.16600000000000001</v>
      </c>
      <c r="Q4" s="17">
        <v>0.128</v>
      </c>
      <c r="R4" s="17">
        <v>8.8999999999999996E-2</v>
      </c>
      <c r="S4" s="17">
        <v>5.3999999999999999E-2</v>
      </c>
      <c r="T4" s="17">
        <v>0.16600000000000001</v>
      </c>
      <c r="U4" s="17">
        <v>0.128</v>
      </c>
      <c r="V4" s="17">
        <v>0.09</v>
      </c>
      <c r="W4" s="17">
        <v>5.3999999999999999E-2</v>
      </c>
      <c r="X4" s="17">
        <v>0.22600000000000001</v>
      </c>
      <c r="Y4" s="17">
        <v>0.16600000000000001</v>
      </c>
      <c r="Z4" s="17">
        <v>0.128</v>
      </c>
      <c r="AA4" s="17">
        <v>0.09</v>
      </c>
      <c r="AB4" s="17">
        <v>5.3999999999999999E-2</v>
      </c>
      <c r="AC4" s="17">
        <v>0.22600000000000001</v>
      </c>
      <c r="AD4" s="17">
        <v>0.16600000000000001</v>
      </c>
      <c r="AE4" s="17">
        <v>0.128</v>
      </c>
      <c r="AF4" s="17">
        <v>0.09</v>
      </c>
      <c r="AG4" s="17">
        <v>5.3999999999999999E-2</v>
      </c>
      <c r="AH4" s="17">
        <v>0.22600000000000001</v>
      </c>
      <c r="AI4" s="17">
        <v>0.16600000000000001</v>
      </c>
      <c r="AJ4" s="17">
        <v>0.128</v>
      </c>
      <c r="AK4" s="17">
        <v>9.0999999999999998E-2</v>
      </c>
      <c r="AL4" s="17">
        <v>5.5E-2</v>
      </c>
      <c r="AM4" s="17">
        <v>0.22600000000000001</v>
      </c>
      <c r="AN4" s="17">
        <v>0.16600000000000001</v>
      </c>
      <c r="AO4" s="17">
        <v>0.128</v>
      </c>
      <c r="AP4" s="17">
        <v>9.0999999999999998E-2</v>
      </c>
      <c r="AQ4" s="17">
        <v>5.5E-2</v>
      </c>
      <c r="AR4" s="7">
        <v>0.1</v>
      </c>
      <c r="AS4" s="7">
        <v>0.1</v>
      </c>
    </row>
    <row r="5" spans="1:45" x14ac:dyDescent="0.25">
      <c r="A5" s="13">
        <v>30</v>
      </c>
      <c r="B5" s="16">
        <v>0.18600000000000003</v>
      </c>
      <c r="C5" s="16">
        <v>0.14699999999999999</v>
      </c>
      <c r="D5" s="16">
        <v>0.10800000000000001</v>
      </c>
      <c r="E5" s="16">
        <v>6.9000000000000006E-2</v>
      </c>
      <c r="F5" s="16">
        <v>0.18099999999999999</v>
      </c>
      <c r="G5" s="16">
        <v>0.14199999999999999</v>
      </c>
      <c r="H5" s="17">
        <v>0.104</v>
      </c>
      <c r="I5" s="16">
        <v>6.6000000000000003E-2</v>
      </c>
      <c r="J5" s="17">
        <v>0.104</v>
      </c>
      <c r="K5" s="17">
        <v>0.104</v>
      </c>
      <c r="L5" s="17">
        <v>0.18099999999999999</v>
      </c>
      <c r="M5" s="17">
        <v>0.14199999999999999</v>
      </c>
      <c r="N5" s="17">
        <v>0.104</v>
      </c>
      <c r="O5" s="17">
        <v>6.6000000000000003E-2</v>
      </c>
      <c r="P5" s="17">
        <v>0.18099999999999999</v>
      </c>
      <c r="Q5" s="17">
        <v>0.14199999999999999</v>
      </c>
      <c r="R5" s="17">
        <v>0.104</v>
      </c>
      <c r="S5" s="17">
        <v>6.6000000000000003E-2</v>
      </c>
      <c r="T5" s="17">
        <v>0.18099999999999999</v>
      </c>
      <c r="U5" s="17">
        <v>0.14199999999999999</v>
      </c>
      <c r="V5" s="17">
        <v>0.104</v>
      </c>
      <c r="W5" s="17">
        <v>6.6000000000000003E-2</v>
      </c>
      <c r="X5" s="17">
        <v>0.24099999999999999</v>
      </c>
      <c r="Y5" s="17">
        <v>0.18099999999999999</v>
      </c>
      <c r="Z5" s="17">
        <v>0.14199999999999999</v>
      </c>
      <c r="AA5" s="17">
        <v>0.104</v>
      </c>
      <c r="AB5" s="17">
        <v>6.6000000000000003E-2</v>
      </c>
      <c r="AC5" s="17">
        <v>0.24099999999999999</v>
      </c>
      <c r="AD5" s="17">
        <v>0.18099999999999999</v>
      </c>
      <c r="AE5" s="17">
        <v>0.14199999999999999</v>
      </c>
      <c r="AF5" s="17">
        <v>0.104</v>
      </c>
      <c r="AG5" s="17">
        <v>6.6000000000000003E-2</v>
      </c>
      <c r="AH5" s="17">
        <v>0.24099999999999999</v>
      </c>
      <c r="AI5" s="17">
        <v>0.18099999999999999</v>
      </c>
      <c r="AJ5" s="17">
        <v>0.14199999999999999</v>
      </c>
      <c r="AK5" s="17">
        <v>0.105</v>
      </c>
      <c r="AL5" s="17">
        <v>6.7000000000000004E-2</v>
      </c>
      <c r="AM5" s="17">
        <v>0.24099999999999999</v>
      </c>
      <c r="AN5" s="17">
        <v>0.18099999999999999</v>
      </c>
      <c r="AO5" s="17">
        <v>0.14199999999999999</v>
      </c>
      <c r="AP5" s="17">
        <v>0.105</v>
      </c>
      <c r="AQ5" s="17">
        <v>6.7000000000000004E-2</v>
      </c>
      <c r="AR5" s="7">
        <v>0.1</v>
      </c>
      <c r="AS5" s="7">
        <v>0.1</v>
      </c>
    </row>
    <row r="6" spans="1:45" x14ac:dyDescent="0.25">
      <c r="A6" s="13">
        <v>35</v>
      </c>
      <c r="B6" s="16">
        <v>0.20199999999999999</v>
      </c>
      <c r="C6" s="16">
        <v>0.16300000000000001</v>
      </c>
      <c r="D6" s="16">
        <v>0.125</v>
      </c>
      <c r="E6" s="16">
        <v>8.4000000000000005E-2</v>
      </c>
      <c r="F6" s="16">
        <v>0.19600000000000001</v>
      </c>
      <c r="G6" s="16">
        <v>0.159</v>
      </c>
      <c r="H6" s="17">
        <v>0.12</v>
      </c>
      <c r="I6" s="16">
        <v>0.08</v>
      </c>
      <c r="J6" s="17">
        <v>0.121</v>
      </c>
      <c r="K6" s="17">
        <v>0.121</v>
      </c>
      <c r="L6" s="17">
        <v>0.19600000000000001</v>
      </c>
      <c r="M6" s="17">
        <v>0.159</v>
      </c>
      <c r="N6" s="17">
        <v>0.12</v>
      </c>
      <c r="O6" s="17">
        <v>0.08</v>
      </c>
      <c r="P6" s="17">
        <v>0.19600000000000001</v>
      </c>
      <c r="Q6" s="17">
        <v>0.159</v>
      </c>
      <c r="R6" s="17">
        <v>0.12</v>
      </c>
      <c r="S6" s="17">
        <v>0.08</v>
      </c>
      <c r="T6" s="17">
        <v>0.19600000000000001</v>
      </c>
      <c r="U6" s="17">
        <v>0.159</v>
      </c>
      <c r="V6" s="17">
        <v>0.121</v>
      </c>
      <c r="W6" s="17">
        <v>0.08</v>
      </c>
      <c r="X6" s="17">
        <v>0.25600000000000001</v>
      </c>
      <c r="Y6" s="17">
        <v>0.19600000000000001</v>
      </c>
      <c r="Z6" s="17">
        <v>0.159</v>
      </c>
      <c r="AA6" s="17">
        <v>0.121</v>
      </c>
      <c r="AB6" s="17">
        <v>0.08</v>
      </c>
      <c r="AC6" s="17">
        <v>0.25600000000000001</v>
      </c>
      <c r="AD6" s="17">
        <v>0.19600000000000001</v>
      </c>
      <c r="AE6" s="17">
        <v>0.159</v>
      </c>
      <c r="AF6" s="17">
        <v>0.121</v>
      </c>
      <c r="AG6" s="17">
        <v>0.08</v>
      </c>
      <c r="AH6" s="17">
        <v>0.25600000000000001</v>
      </c>
      <c r="AI6" s="17">
        <v>0.19600000000000001</v>
      </c>
      <c r="AJ6" s="17">
        <v>0.159</v>
      </c>
      <c r="AK6" s="17">
        <v>0.122</v>
      </c>
      <c r="AL6" s="17">
        <v>8.1000000000000003E-2</v>
      </c>
      <c r="AM6" s="17">
        <v>0.25600000000000001</v>
      </c>
      <c r="AN6" s="17">
        <v>0.19600000000000001</v>
      </c>
      <c r="AO6" s="17">
        <v>0.159</v>
      </c>
      <c r="AP6" s="17">
        <v>0.122</v>
      </c>
      <c r="AQ6" s="17">
        <v>8.1000000000000003E-2</v>
      </c>
      <c r="AR6" s="7">
        <v>0.1</v>
      </c>
      <c r="AS6" s="7">
        <v>0.1</v>
      </c>
    </row>
    <row r="7" spans="1:45" x14ac:dyDescent="0.25">
      <c r="A7" s="13">
        <v>40</v>
      </c>
      <c r="B7" s="16">
        <v>0.21899999999999997</v>
      </c>
      <c r="C7" s="16">
        <v>0.182</v>
      </c>
      <c r="D7" s="16">
        <v>0.14599999999999999</v>
      </c>
      <c r="E7" s="16">
        <v>0.10199999999999999</v>
      </c>
      <c r="F7" s="16">
        <v>0.21299999999999999</v>
      </c>
      <c r="G7" s="16">
        <v>0.17599999999999999</v>
      </c>
      <c r="H7" s="17">
        <v>0.14000000000000001</v>
      </c>
      <c r="I7" s="16">
        <v>9.8000000000000004E-2</v>
      </c>
      <c r="J7" s="17">
        <v>0.14000000000000001</v>
      </c>
      <c r="K7" s="17">
        <v>0.14000000000000001</v>
      </c>
      <c r="L7" s="17">
        <v>0.21299999999999999</v>
      </c>
      <c r="M7" s="17">
        <v>0.17599999999999999</v>
      </c>
      <c r="N7" s="17">
        <v>0.14000000000000001</v>
      </c>
      <c r="O7" s="17">
        <v>9.8000000000000004E-2</v>
      </c>
      <c r="P7" s="17">
        <v>0.21299999999999999</v>
      </c>
      <c r="Q7" s="17">
        <v>0.17599999999999999</v>
      </c>
      <c r="R7" s="17">
        <v>0.14000000000000001</v>
      </c>
      <c r="S7" s="17">
        <v>9.8000000000000004E-2</v>
      </c>
      <c r="T7" s="17">
        <v>0.21299999999999999</v>
      </c>
      <c r="U7" s="17">
        <v>0.17599999999999999</v>
      </c>
      <c r="V7" s="17">
        <v>0.14000000000000001</v>
      </c>
      <c r="W7" s="17">
        <v>9.8000000000000004E-2</v>
      </c>
      <c r="X7" s="17">
        <v>0.27200000000000002</v>
      </c>
      <c r="Y7" s="17">
        <v>0.21299999999999999</v>
      </c>
      <c r="Z7" s="17">
        <v>0.17599999999999999</v>
      </c>
      <c r="AA7" s="17">
        <v>0.14000000000000001</v>
      </c>
      <c r="AB7" s="17">
        <v>9.8000000000000004E-2</v>
      </c>
      <c r="AC7" s="17">
        <v>0.27200000000000002</v>
      </c>
      <c r="AD7" s="17">
        <v>0.21299999999999999</v>
      </c>
      <c r="AE7" s="17">
        <v>0.17599999999999999</v>
      </c>
      <c r="AF7" s="17">
        <v>0.14000000000000001</v>
      </c>
      <c r="AG7" s="17">
        <v>9.8000000000000004E-2</v>
      </c>
      <c r="AH7" s="17">
        <v>0.27200000000000002</v>
      </c>
      <c r="AI7" s="17">
        <v>0.21299999999999999</v>
      </c>
      <c r="AJ7" s="17">
        <v>0.17599999999999999</v>
      </c>
      <c r="AK7" s="17">
        <v>0.14199999999999999</v>
      </c>
      <c r="AL7" s="17">
        <v>9.9000000000000005E-2</v>
      </c>
      <c r="AM7" s="17">
        <v>0.27200000000000002</v>
      </c>
      <c r="AN7" s="17">
        <v>0.21299999999999999</v>
      </c>
      <c r="AO7" s="17">
        <v>0.17599999999999999</v>
      </c>
      <c r="AP7" s="17">
        <v>0.14199999999999999</v>
      </c>
      <c r="AQ7" s="17">
        <v>9.9000000000000005E-2</v>
      </c>
      <c r="AR7" s="7">
        <v>0.1</v>
      </c>
      <c r="AS7" s="7">
        <v>0.1</v>
      </c>
    </row>
    <row r="8" spans="1:45" x14ac:dyDescent="0.25">
      <c r="A8" s="13">
        <v>45</v>
      </c>
      <c r="B8" s="16">
        <v>0.23699999999999999</v>
      </c>
      <c r="C8" s="16">
        <v>0.20199999999999999</v>
      </c>
      <c r="D8" s="16">
        <v>0.17</v>
      </c>
      <c r="E8" s="16">
        <v>0.125</v>
      </c>
      <c r="F8" s="16">
        <v>0.23100000000000001</v>
      </c>
      <c r="G8" s="16">
        <v>0.19700000000000001</v>
      </c>
      <c r="H8" s="17">
        <v>0.16300000000000001</v>
      </c>
      <c r="I8" s="16">
        <v>0.11899999999999999</v>
      </c>
      <c r="J8" s="17">
        <v>0.16300000000000001</v>
      </c>
      <c r="K8" s="17">
        <v>0.16300000000000001</v>
      </c>
      <c r="L8" s="17">
        <v>0.23100000000000001</v>
      </c>
      <c r="M8" s="17">
        <v>0.19700000000000001</v>
      </c>
      <c r="N8" s="17">
        <v>0.16300000000000001</v>
      </c>
      <c r="O8" s="17">
        <v>0.11899999999999999</v>
      </c>
      <c r="P8" s="17">
        <v>0.23100000000000001</v>
      </c>
      <c r="Q8" s="17">
        <v>0.19700000000000001</v>
      </c>
      <c r="R8" s="17">
        <v>0.16300000000000001</v>
      </c>
      <c r="S8" s="17">
        <v>0.11899999999999999</v>
      </c>
      <c r="T8" s="17">
        <v>0.23100000000000001</v>
      </c>
      <c r="U8" s="17">
        <v>0.19700000000000001</v>
      </c>
      <c r="V8" s="17">
        <v>0.16300000000000001</v>
      </c>
      <c r="W8" s="17">
        <v>0.12</v>
      </c>
      <c r="X8" s="17">
        <v>0.28799999999999998</v>
      </c>
      <c r="Y8" s="17">
        <v>0.23100000000000001</v>
      </c>
      <c r="Z8" s="17">
        <v>0.19700000000000001</v>
      </c>
      <c r="AA8" s="17">
        <v>0.16300000000000001</v>
      </c>
      <c r="AB8" s="17">
        <v>0.12</v>
      </c>
      <c r="AC8" s="17">
        <v>0.28799999999999998</v>
      </c>
      <c r="AD8" s="17">
        <v>0.23100000000000001</v>
      </c>
      <c r="AE8" s="17">
        <v>0.19700000000000001</v>
      </c>
      <c r="AF8" s="17">
        <v>0.16300000000000001</v>
      </c>
      <c r="AG8" s="17">
        <v>0.12</v>
      </c>
      <c r="AH8" s="17">
        <v>0.28799999999999998</v>
      </c>
      <c r="AI8" s="17">
        <v>0.23100000000000001</v>
      </c>
      <c r="AJ8" s="17">
        <v>0.19700000000000001</v>
      </c>
      <c r="AK8" s="17">
        <v>0.16500000000000001</v>
      </c>
      <c r="AL8" s="17">
        <v>0.121</v>
      </c>
      <c r="AM8" s="17">
        <v>0.28799999999999998</v>
      </c>
      <c r="AN8" s="17">
        <v>0.23100000000000001</v>
      </c>
      <c r="AO8" s="17">
        <v>0.19700000000000001</v>
      </c>
      <c r="AP8" s="17">
        <v>0.16500000000000001</v>
      </c>
      <c r="AQ8" s="17">
        <v>0.121</v>
      </c>
      <c r="AR8" s="7">
        <v>0.1</v>
      </c>
      <c r="AS8" s="7">
        <v>0.1</v>
      </c>
    </row>
    <row r="9" spans="1:45" x14ac:dyDescent="0.25">
      <c r="A9" s="13">
        <v>50</v>
      </c>
      <c r="B9" s="16">
        <v>0.25900000000000001</v>
      </c>
      <c r="C9" s="16">
        <v>0.22600000000000001</v>
      </c>
      <c r="D9" s="16">
        <v>0.19800000000000001</v>
      </c>
      <c r="E9" s="16">
        <v>0.154</v>
      </c>
      <c r="F9" s="16">
        <v>0.252</v>
      </c>
      <c r="G9" s="16">
        <v>0.219</v>
      </c>
      <c r="H9" s="17">
        <v>0.19</v>
      </c>
      <c r="I9" s="16">
        <v>0.14599999999999999</v>
      </c>
      <c r="J9" s="17">
        <v>0.191</v>
      </c>
      <c r="K9" s="17">
        <v>0.191</v>
      </c>
      <c r="L9" s="17">
        <v>0.252</v>
      </c>
      <c r="M9" s="17">
        <v>0.219</v>
      </c>
      <c r="N9" s="17">
        <v>0.19</v>
      </c>
      <c r="O9" s="17">
        <v>0.14599999999999999</v>
      </c>
      <c r="P9" s="17">
        <v>0.252</v>
      </c>
      <c r="Q9" s="17">
        <v>0.219</v>
      </c>
      <c r="R9" s="17">
        <v>0.19</v>
      </c>
      <c r="S9" s="17">
        <v>0.14599999999999999</v>
      </c>
      <c r="T9" s="17">
        <v>0.252</v>
      </c>
      <c r="U9" s="17">
        <v>0.219</v>
      </c>
      <c r="V9" s="17">
        <v>0.191</v>
      </c>
      <c r="W9" s="17">
        <v>0.14599999999999999</v>
      </c>
      <c r="X9" s="17">
        <v>0.30499999999999999</v>
      </c>
      <c r="Y9" s="17">
        <v>0.252</v>
      </c>
      <c r="Z9" s="17">
        <v>0.219</v>
      </c>
      <c r="AA9" s="17">
        <v>0.191</v>
      </c>
      <c r="AB9" s="17">
        <v>0.14599999999999999</v>
      </c>
      <c r="AC9" s="17">
        <v>0.30499999999999999</v>
      </c>
      <c r="AD9" s="17">
        <v>0.252</v>
      </c>
      <c r="AE9" s="17">
        <v>0.219</v>
      </c>
      <c r="AF9" s="17">
        <v>0.191</v>
      </c>
      <c r="AG9" s="17">
        <v>0.14599999999999999</v>
      </c>
      <c r="AH9" s="17">
        <v>0.30499999999999999</v>
      </c>
      <c r="AI9" s="17">
        <v>0.252</v>
      </c>
      <c r="AJ9" s="17">
        <v>0.219</v>
      </c>
      <c r="AK9" s="17">
        <v>0.193</v>
      </c>
      <c r="AL9" s="17">
        <v>0.14799999999999999</v>
      </c>
      <c r="AM9" s="17">
        <v>0.30499999999999999</v>
      </c>
      <c r="AN9" s="17">
        <v>0.252</v>
      </c>
      <c r="AO9" s="17">
        <v>0.219</v>
      </c>
      <c r="AP9" s="17">
        <v>0.193</v>
      </c>
      <c r="AQ9" s="17">
        <v>0.14799999999999999</v>
      </c>
      <c r="AR9" s="7">
        <v>0.1</v>
      </c>
      <c r="AS9" s="7">
        <v>0.1</v>
      </c>
    </row>
    <row r="10" spans="1:45" x14ac:dyDescent="0.25">
      <c r="A10" s="13">
        <v>55</v>
      </c>
      <c r="B10" s="16">
        <v>0.28300000000000003</v>
      </c>
      <c r="C10" s="16">
        <v>0.254</v>
      </c>
      <c r="D10" s="16">
        <v>0.23300000000000001</v>
      </c>
      <c r="E10" s="16">
        <v>0.18899999999999997</v>
      </c>
      <c r="F10" s="16">
        <v>0.27600000000000002</v>
      </c>
      <c r="G10" s="16">
        <v>0.246</v>
      </c>
      <c r="H10" s="17">
        <v>0.223</v>
      </c>
      <c r="I10" s="16">
        <v>0.18</v>
      </c>
      <c r="J10" s="17">
        <v>0.224</v>
      </c>
      <c r="K10" s="17">
        <v>0.224</v>
      </c>
      <c r="L10" s="17">
        <v>0.27600000000000002</v>
      </c>
      <c r="M10" s="17">
        <v>0.246</v>
      </c>
      <c r="N10" s="17">
        <v>0.223</v>
      </c>
      <c r="O10" s="17">
        <v>0.18</v>
      </c>
      <c r="P10" s="17">
        <v>0.27600000000000002</v>
      </c>
      <c r="Q10" s="17">
        <v>0.246</v>
      </c>
      <c r="R10" s="17">
        <v>0.223</v>
      </c>
      <c r="S10" s="17">
        <v>0.18</v>
      </c>
      <c r="T10" s="17">
        <v>0.27600000000000002</v>
      </c>
      <c r="U10" s="17">
        <v>0.246</v>
      </c>
      <c r="V10" s="17">
        <v>0.224</v>
      </c>
      <c r="W10" s="17">
        <v>0.18</v>
      </c>
      <c r="X10" s="17">
        <v>0.32300000000000001</v>
      </c>
      <c r="Y10" s="17">
        <v>0.27600000000000002</v>
      </c>
      <c r="Z10" s="17">
        <v>0.246</v>
      </c>
      <c r="AA10" s="17">
        <v>0.224</v>
      </c>
      <c r="AB10" s="17">
        <v>0.18</v>
      </c>
      <c r="AC10" s="17">
        <v>0.32300000000000001</v>
      </c>
      <c r="AD10" s="17">
        <v>0.27600000000000002</v>
      </c>
      <c r="AE10" s="17">
        <v>0.246</v>
      </c>
      <c r="AF10" s="17">
        <v>0.224</v>
      </c>
      <c r="AG10" s="17">
        <v>0.18</v>
      </c>
      <c r="AH10" s="17">
        <v>0.32300000000000001</v>
      </c>
      <c r="AI10" s="17">
        <v>0.27600000000000002</v>
      </c>
      <c r="AJ10" s="17">
        <v>0.246</v>
      </c>
      <c r="AK10" s="17">
        <v>0.22600000000000001</v>
      </c>
      <c r="AL10" s="17">
        <v>0.182</v>
      </c>
      <c r="AM10" s="17">
        <v>0.32300000000000001</v>
      </c>
      <c r="AN10" s="17">
        <v>0.27600000000000002</v>
      </c>
      <c r="AO10" s="17">
        <v>0.246</v>
      </c>
      <c r="AP10" s="17">
        <v>0.22600000000000001</v>
      </c>
      <c r="AQ10" s="17">
        <v>0.182</v>
      </c>
      <c r="AR10" s="7">
        <v>0.1</v>
      </c>
      <c r="AS10" s="7">
        <v>0.1</v>
      </c>
    </row>
    <row r="11" spans="1:45" x14ac:dyDescent="0.25">
      <c r="A11" s="13">
        <v>60</v>
      </c>
      <c r="B11" s="16">
        <v>0.315</v>
      </c>
      <c r="C11" s="16">
        <v>0.28899999999999998</v>
      </c>
      <c r="D11" s="16">
        <v>0.27699999999999997</v>
      </c>
      <c r="E11" s="16">
        <v>0.23600000000000002</v>
      </c>
      <c r="F11" s="16">
        <v>0.30499999999999999</v>
      </c>
      <c r="G11" s="16">
        <v>0.27900000000000003</v>
      </c>
      <c r="H11" s="17">
        <v>0.26500000000000001</v>
      </c>
      <c r="I11" s="16">
        <v>0.224</v>
      </c>
      <c r="J11" s="17">
        <v>0.26500000000000001</v>
      </c>
      <c r="K11" s="17">
        <v>0.26500000000000001</v>
      </c>
      <c r="L11" s="17">
        <v>0.30499999999999999</v>
      </c>
      <c r="M11" s="17">
        <v>0.27900000000000003</v>
      </c>
      <c r="N11" s="17">
        <v>0.26500000000000001</v>
      </c>
      <c r="O11" s="17">
        <v>0.224</v>
      </c>
      <c r="P11" s="17">
        <v>0.30499999999999999</v>
      </c>
      <c r="Q11" s="17">
        <v>0.27900000000000003</v>
      </c>
      <c r="R11" s="17">
        <v>0.26500000000000001</v>
      </c>
      <c r="S11" s="17">
        <v>0.224</v>
      </c>
      <c r="T11" s="17">
        <v>0.30499999999999999</v>
      </c>
      <c r="U11" s="17">
        <v>0.27900000000000003</v>
      </c>
      <c r="V11" s="17">
        <v>0.26500000000000001</v>
      </c>
      <c r="W11" s="17">
        <v>0.224</v>
      </c>
      <c r="X11" s="17">
        <v>0.34300000000000003</v>
      </c>
      <c r="Y11" s="17">
        <v>0.30499999999999999</v>
      </c>
      <c r="Z11" s="17">
        <v>0.27900000000000003</v>
      </c>
      <c r="AA11" s="17">
        <v>0.26500000000000001</v>
      </c>
      <c r="AB11" s="17">
        <v>0.224</v>
      </c>
      <c r="AC11" s="17">
        <v>0.34300000000000003</v>
      </c>
      <c r="AD11" s="17">
        <v>0.30499999999999999</v>
      </c>
      <c r="AE11" s="17">
        <v>0.27900000000000003</v>
      </c>
      <c r="AF11" s="17">
        <v>0.26500000000000001</v>
      </c>
      <c r="AG11" s="17">
        <v>0.224</v>
      </c>
      <c r="AH11" s="17">
        <v>0.34300000000000003</v>
      </c>
      <c r="AI11" s="17">
        <v>0.30499999999999999</v>
      </c>
      <c r="AJ11" s="17">
        <v>0.27900000000000003</v>
      </c>
      <c r="AK11" s="17">
        <v>0.26700000000000002</v>
      </c>
      <c r="AL11" s="17">
        <v>0.22600000000000001</v>
      </c>
      <c r="AM11" s="17">
        <v>0.34300000000000003</v>
      </c>
      <c r="AN11" s="17">
        <v>0.30499999999999999</v>
      </c>
      <c r="AO11" s="17">
        <v>0.27900000000000003</v>
      </c>
      <c r="AP11" s="17">
        <v>0.26700000000000002</v>
      </c>
      <c r="AQ11" s="17">
        <v>0.22600000000000001</v>
      </c>
      <c r="AR11" s="7">
        <v>0.1</v>
      </c>
      <c r="AS11" s="7">
        <v>0.1</v>
      </c>
    </row>
    <row r="12" spans="1:45" x14ac:dyDescent="0.25">
      <c r="A12" s="13">
        <v>65</v>
      </c>
      <c r="B12" s="16">
        <v>0.34200000000000003</v>
      </c>
      <c r="C12" s="16">
        <v>0.32</v>
      </c>
      <c r="D12" s="16">
        <v>0.315</v>
      </c>
      <c r="E12" s="16">
        <v>0.27699999999999997</v>
      </c>
      <c r="F12" s="16">
        <v>0.33400000000000002</v>
      </c>
      <c r="G12" s="16">
        <v>0.312</v>
      </c>
      <c r="H12" s="17">
        <v>0.30599999999999999</v>
      </c>
      <c r="I12" s="16">
        <v>0.26800000000000002</v>
      </c>
      <c r="J12" s="17">
        <v>0.307</v>
      </c>
      <c r="K12" s="17">
        <v>0.307</v>
      </c>
      <c r="L12" s="17">
        <v>0.33400000000000002</v>
      </c>
      <c r="M12" s="17">
        <v>0.312</v>
      </c>
      <c r="N12" s="17">
        <v>0.30599999999999999</v>
      </c>
      <c r="O12" s="17">
        <v>0.26800000000000002</v>
      </c>
      <c r="P12" s="17">
        <v>0.33400000000000002</v>
      </c>
      <c r="Q12" s="17">
        <v>0.312</v>
      </c>
      <c r="R12" s="17">
        <v>0.30599999999999999</v>
      </c>
      <c r="S12" s="17">
        <v>0.26800000000000002</v>
      </c>
      <c r="T12" s="17">
        <v>0.33400000000000002</v>
      </c>
      <c r="U12" s="17">
        <v>0.312</v>
      </c>
      <c r="V12" s="17">
        <v>0.307</v>
      </c>
      <c r="W12" s="17">
        <v>0.26900000000000002</v>
      </c>
      <c r="X12" s="17">
        <v>0.36099999999999999</v>
      </c>
      <c r="Y12" s="17">
        <v>0.33400000000000002</v>
      </c>
      <c r="Z12" s="17">
        <v>0.312</v>
      </c>
      <c r="AA12" s="17">
        <v>0.307</v>
      </c>
      <c r="AB12" s="17">
        <v>0.26900000000000002</v>
      </c>
      <c r="AC12" s="17">
        <v>0.36099999999999999</v>
      </c>
      <c r="AD12" s="17">
        <v>0.33400000000000002</v>
      </c>
      <c r="AE12" s="17">
        <v>0.312</v>
      </c>
      <c r="AF12" s="17">
        <v>0.307</v>
      </c>
      <c r="AG12" s="17">
        <v>0.26900000000000002</v>
      </c>
      <c r="AH12" s="17">
        <v>0.36099999999999999</v>
      </c>
      <c r="AI12" s="17">
        <v>0.33400000000000002</v>
      </c>
      <c r="AJ12" s="17">
        <v>0.312</v>
      </c>
      <c r="AK12" s="17">
        <v>0.308</v>
      </c>
      <c r="AL12" s="17">
        <v>0.27</v>
      </c>
      <c r="AM12" s="17">
        <v>0.36099999999999999</v>
      </c>
      <c r="AN12" s="17">
        <v>0.33400000000000002</v>
      </c>
      <c r="AO12" s="17">
        <v>0.312</v>
      </c>
      <c r="AP12" s="17">
        <v>0.308</v>
      </c>
      <c r="AQ12" s="17">
        <v>0.27</v>
      </c>
      <c r="AR12" s="7">
        <v>0.1</v>
      </c>
      <c r="AS12" s="7">
        <v>0.1</v>
      </c>
    </row>
    <row r="13" spans="1:45" x14ac:dyDescent="0.25">
      <c r="A13" s="13" t="s">
        <v>240</v>
      </c>
      <c r="B13" s="16">
        <v>0.115</v>
      </c>
      <c r="C13" s="16">
        <v>0.12</v>
      </c>
      <c r="D13" s="16">
        <v>0.13</v>
      </c>
      <c r="E13" s="16">
        <v>0.15</v>
      </c>
      <c r="F13" s="16">
        <v>0.115</v>
      </c>
      <c r="G13" s="16">
        <v>0.12</v>
      </c>
      <c r="H13" s="16">
        <v>0.13</v>
      </c>
      <c r="I13" s="16">
        <v>0.15</v>
      </c>
      <c r="J13" s="16">
        <v>0.14399999999999999</v>
      </c>
      <c r="K13" s="16">
        <v>0.14399999999999999</v>
      </c>
      <c r="L13" s="16">
        <v>9.7000000000000003E-2</v>
      </c>
      <c r="M13" s="16">
        <v>0.104</v>
      </c>
      <c r="N13" s="16">
        <v>0.112</v>
      </c>
      <c r="O13" s="16">
        <v>0.13</v>
      </c>
      <c r="P13" s="16">
        <v>9.7000000000000003E-2</v>
      </c>
      <c r="Q13" s="16">
        <v>0.104</v>
      </c>
      <c r="R13" s="16">
        <v>0.112</v>
      </c>
      <c r="S13" s="16">
        <v>0.13</v>
      </c>
      <c r="T13" s="16">
        <v>9.7000000000000003E-2</v>
      </c>
      <c r="U13" s="16">
        <v>0.104</v>
      </c>
      <c r="V13" s="16">
        <v>0.13</v>
      </c>
      <c r="W13" s="16">
        <v>0.13</v>
      </c>
      <c r="X13" s="16"/>
      <c r="Y13" s="16">
        <v>9.7000000000000003E-2</v>
      </c>
      <c r="Z13" s="16">
        <v>0.104</v>
      </c>
      <c r="AA13" s="16">
        <v>0.14399999999999999</v>
      </c>
      <c r="AB13" s="16">
        <v>0.13</v>
      </c>
      <c r="AC13" s="16"/>
      <c r="AD13" s="16">
        <v>9.7000000000000003E-2</v>
      </c>
      <c r="AE13" s="16">
        <v>0.104</v>
      </c>
      <c r="AF13" s="16">
        <v>0.14399999999999999</v>
      </c>
      <c r="AG13" s="16">
        <v>0.13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7">
        <v>0.12</v>
      </c>
      <c r="AS13" s="7">
        <v>0.12</v>
      </c>
    </row>
    <row r="14" spans="1:45" x14ac:dyDescent="0.25"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</row>
    <row r="15" spans="1:45" x14ac:dyDescent="0.25"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</row>
    <row r="16" spans="1:45" x14ac:dyDescent="0.25"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</row>
    <row r="17" spans="25:43" x14ac:dyDescent="0.25"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</row>
    <row r="18" spans="25:43" x14ac:dyDescent="0.25"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</row>
    <row r="19" spans="25:43" x14ac:dyDescent="0.25"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</row>
    <row r="20" spans="25:43" x14ac:dyDescent="0.25"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</row>
    <row r="21" spans="25:43" x14ac:dyDescent="0.25"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</row>
    <row r="22" spans="25:43" x14ac:dyDescent="0.25"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</row>
    <row r="23" spans="25:43" x14ac:dyDescent="0.25"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</row>
    <row r="24" spans="25:43" x14ac:dyDescent="0.25"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</row>
    <row r="25" spans="25:43" x14ac:dyDescent="0.25"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</row>
    <row r="30" spans="25:43" x14ac:dyDescent="0.25">
      <c r="AC30" s="2"/>
    </row>
  </sheetData>
  <pageMargins left="0.7" right="0.7" top="0.75" bottom="0.75" header="0.3" footer="0.3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6D5E4"/>
  </sheetPr>
  <dimension ref="A1:D35"/>
  <sheetViews>
    <sheetView topLeftCell="B1" workbookViewId="0">
      <selection activeCell="B2" sqref="B2"/>
    </sheetView>
  </sheetViews>
  <sheetFormatPr defaultColWidth="8.7109375" defaultRowHeight="15" x14ac:dyDescent="0.25"/>
  <cols>
    <col min="1" max="3" width="45.42578125" customWidth="1"/>
    <col min="4" max="4" width="46.28515625" bestFit="1" customWidth="1"/>
  </cols>
  <sheetData>
    <row r="1" spans="1:4" x14ac:dyDescent="0.25">
      <c r="A1" s="55" t="s">
        <v>132</v>
      </c>
      <c r="B1" s="55" t="s">
        <v>273</v>
      </c>
      <c r="C1" s="55" t="s">
        <v>274</v>
      </c>
      <c r="D1" s="55" t="s">
        <v>459</v>
      </c>
    </row>
    <row r="2" spans="1:4" x14ac:dyDescent="0.25">
      <c r="A2" t="s">
        <v>316</v>
      </c>
      <c r="B2" t="s">
        <v>301</v>
      </c>
      <c r="C2" t="s">
        <v>327</v>
      </c>
      <c r="D2" t="s">
        <v>460</v>
      </c>
    </row>
    <row r="3" spans="1:4" x14ac:dyDescent="0.25">
      <c r="A3" t="s">
        <v>317</v>
      </c>
      <c r="B3" t="s">
        <v>302</v>
      </c>
      <c r="D3" t="s">
        <v>461</v>
      </c>
    </row>
    <row r="4" spans="1:4" x14ac:dyDescent="0.25">
      <c r="A4" t="s">
        <v>318</v>
      </c>
      <c r="B4" t="s">
        <v>303</v>
      </c>
      <c r="D4" t="s">
        <v>462</v>
      </c>
    </row>
    <row r="5" spans="1:4" x14ac:dyDescent="0.25">
      <c r="A5" t="s">
        <v>319</v>
      </c>
      <c r="B5" t="s">
        <v>304</v>
      </c>
      <c r="D5" t="s">
        <v>463</v>
      </c>
    </row>
    <row r="6" spans="1:4" x14ac:dyDescent="0.25">
      <c r="A6" t="s">
        <v>320</v>
      </c>
      <c r="B6" t="s">
        <v>305</v>
      </c>
      <c r="D6" t="s">
        <v>464</v>
      </c>
    </row>
    <row r="7" spans="1:4" x14ac:dyDescent="0.25">
      <c r="A7" t="s">
        <v>395</v>
      </c>
      <c r="B7" t="s">
        <v>306</v>
      </c>
    </row>
    <row r="8" spans="1:4" x14ac:dyDescent="0.25">
      <c r="A8" t="s">
        <v>368</v>
      </c>
      <c r="B8" t="s">
        <v>307</v>
      </c>
    </row>
    <row r="9" spans="1:4" x14ac:dyDescent="0.25">
      <c r="A9" t="s">
        <v>369</v>
      </c>
      <c r="B9" t="s">
        <v>308</v>
      </c>
    </row>
    <row r="10" spans="1:4" x14ac:dyDescent="0.25">
      <c r="A10" t="s">
        <v>370</v>
      </c>
      <c r="B10" t="s">
        <v>449</v>
      </c>
    </row>
    <row r="11" spans="1:4" x14ac:dyDescent="0.25">
      <c r="A11" t="s">
        <v>321</v>
      </c>
      <c r="B11" t="s">
        <v>445</v>
      </c>
    </row>
    <row r="12" spans="1:4" x14ac:dyDescent="0.25">
      <c r="A12" t="s">
        <v>322</v>
      </c>
      <c r="B12" t="s">
        <v>446</v>
      </c>
    </row>
    <row r="13" spans="1:4" x14ac:dyDescent="0.25">
      <c r="A13" t="s">
        <v>410</v>
      </c>
      <c r="B13" t="s">
        <v>447</v>
      </c>
    </row>
    <row r="14" spans="1:4" x14ac:dyDescent="0.25">
      <c r="A14" t="s">
        <v>323</v>
      </c>
      <c r="B14" t="s">
        <v>450</v>
      </c>
    </row>
    <row r="15" spans="1:4" x14ac:dyDescent="0.25">
      <c r="A15" t="s">
        <v>324</v>
      </c>
      <c r="B15" t="s">
        <v>394</v>
      </c>
    </row>
    <row r="16" spans="1:4" x14ac:dyDescent="0.25">
      <c r="A16" t="s">
        <v>325</v>
      </c>
      <c r="B16" t="s">
        <v>309</v>
      </c>
    </row>
    <row r="17" spans="1:2" x14ac:dyDescent="0.25">
      <c r="A17" t="s">
        <v>326</v>
      </c>
      <c r="B17" t="s">
        <v>310</v>
      </c>
    </row>
    <row r="18" spans="1:2" x14ac:dyDescent="0.25">
      <c r="B18" t="s">
        <v>311</v>
      </c>
    </row>
    <row r="19" spans="1:2" x14ac:dyDescent="0.25">
      <c r="B19" t="s">
        <v>312</v>
      </c>
    </row>
    <row r="20" spans="1:2" x14ac:dyDescent="0.25">
      <c r="B20" t="s">
        <v>313</v>
      </c>
    </row>
    <row r="21" spans="1:2" x14ac:dyDescent="0.25">
      <c r="B21" t="s">
        <v>314</v>
      </c>
    </row>
    <row r="22" spans="1:2" x14ac:dyDescent="0.25">
      <c r="B22" t="s">
        <v>315</v>
      </c>
    </row>
    <row r="23" spans="1:2" x14ac:dyDescent="0.25">
      <c r="B23" t="s">
        <v>478</v>
      </c>
    </row>
    <row r="24" spans="1:2" x14ac:dyDescent="0.25">
      <c r="B24" t="s">
        <v>479</v>
      </c>
    </row>
    <row r="25" spans="1:2" x14ac:dyDescent="0.25">
      <c r="B25" t="s">
        <v>480</v>
      </c>
    </row>
    <row r="26" spans="1:2" x14ac:dyDescent="0.25">
      <c r="B26" t="s">
        <v>481</v>
      </c>
    </row>
    <row r="27" spans="1:2" x14ac:dyDescent="0.25">
      <c r="B27" t="s">
        <v>482</v>
      </c>
    </row>
    <row r="28" spans="1:2" x14ac:dyDescent="0.25">
      <c r="B28" t="s">
        <v>483</v>
      </c>
    </row>
    <row r="29" spans="1:2" x14ac:dyDescent="0.25">
      <c r="B29" t="s">
        <v>484</v>
      </c>
    </row>
    <row r="30" spans="1:2" x14ac:dyDescent="0.25">
      <c r="B30" t="s">
        <v>485</v>
      </c>
    </row>
    <row r="31" spans="1:2" x14ac:dyDescent="0.25">
      <c r="B31" t="s">
        <v>486</v>
      </c>
    </row>
    <row r="32" spans="1:2" x14ac:dyDescent="0.25">
      <c r="B32" t="s">
        <v>487</v>
      </c>
    </row>
    <row r="33" spans="2:2" x14ac:dyDescent="0.25">
      <c r="B33" t="s">
        <v>488</v>
      </c>
    </row>
    <row r="34" spans="2:2" x14ac:dyDescent="0.25">
      <c r="B34" t="s">
        <v>489</v>
      </c>
    </row>
    <row r="35" spans="2:2" x14ac:dyDescent="0.25">
      <c r="B35" t="s">
        <v>504</v>
      </c>
    </row>
  </sheetData>
  <pageMargins left="0.7" right="0.7" top="0.75" bottom="0.75" header="0.3" footer="0.3"/>
  <pageSetup paperSize="9" orientation="portrait" verticalDpi="0" r:id="rId1"/>
  <tableParts count="4">
    <tablePart r:id="rId2"/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"/>
  <dimension ref="A1:D19"/>
  <sheetViews>
    <sheetView workbookViewId="0">
      <selection activeCell="A6" sqref="A6"/>
    </sheetView>
  </sheetViews>
  <sheetFormatPr defaultColWidth="9.28515625" defaultRowHeight="15" x14ac:dyDescent="0.25"/>
  <cols>
    <col min="1" max="1" width="9.28515625" style="51"/>
    <col min="2" max="2" width="62.85546875" style="54" customWidth="1"/>
    <col min="3" max="3" width="12" style="51" customWidth="1"/>
    <col min="4" max="4" width="14" style="51" customWidth="1"/>
    <col min="5" max="16384" width="9.28515625" style="51"/>
  </cols>
  <sheetData>
    <row r="1" spans="1:4" s="53" customFormat="1" x14ac:dyDescent="0.25">
      <c r="A1" s="50" t="s">
        <v>71</v>
      </c>
      <c r="B1" s="52" t="s">
        <v>68</v>
      </c>
      <c r="C1" s="50" t="s">
        <v>69</v>
      </c>
      <c r="D1" s="50" t="s">
        <v>70</v>
      </c>
    </row>
    <row r="2" spans="1:4" x14ac:dyDescent="0.25">
      <c r="A2" s="71" t="s">
        <v>512</v>
      </c>
      <c r="B2" s="71" t="s">
        <v>510</v>
      </c>
      <c r="C2" s="72">
        <v>45663</v>
      </c>
      <c r="D2" s="71" t="s">
        <v>417</v>
      </c>
    </row>
    <row r="3" spans="1:4" x14ac:dyDescent="0.25">
      <c r="A3" s="71" t="s">
        <v>512</v>
      </c>
      <c r="B3" s="71" t="s">
        <v>511</v>
      </c>
      <c r="C3" s="72">
        <v>45663</v>
      </c>
      <c r="D3" s="71" t="s">
        <v>417</v>
      </c>
    </row>
    <row r="4" spans="1:4" x14ac:dyDescent="0.25">
      <c r="A4" s="71" t="s">
        <v>520</v>
      </c>
      <c r="B4" s="71" t="s">
        <v>521</v>
      </c>
      <c r="C4" s="72">
        <v>45677</v>
      </c>
      <c r="D4" s="71" t="s">
        <v>417</v>
      </c>
    </row>
    <row r="5" spans="1:4" x14ac:dyDescent="0.25">
      <c r="A5" s="71" t="s">
        <v>522</v>
      </c>
      <c r="B5" s="71" t="s">
        <v>523</v>
      </c>
      <c r="C5" s="72">
        <v>45678</v>
      </c>
      <c r="D5" s="71" t="s">
        <v>524</v>
      </c>
    </row>
    <row r="6" spans="1:4" x14ac:dyDescent="0.25">
      <c r="A6" s="71"/>
      <c r="B6" s="71"/>
      <c r="C6" s="72"/>
      <c r="D6" s="71"/>
    </row>
    <row r="7" spans="1:4" x14ac:dyDescent="0.25">
      <c r="A7" s="71"/>
      <c r="B7" s="71"/>
      <c r="C7" s="72"/>
      <c r="D7" s="71"/>
    </row>
    <row r="8" spans="1:4" x14ac:dyDescent="0.25">
      <c r="A8" s="71"/>
      <c r="B8" s="73"/>
      <c r="C8" s="72"/>
      <c r="D8" s="71"/>
    </row>
    <row r="9" spans="1:4" x14ac:dyDescent="0.25">
      <c r="A9" s="71"/>
      <c r="B9" s="74"/>
      <c r="C9" s="72"/>
      <c r="D9" s="71"/>
    </row>
    <row r="10" spans="1:4" x14ac:dyDescent="0.25">
      <c r="A10" s="75"/>
      <c r="B10" s="74"/>
      <c r="C10" s="72"/>
      <c r="D10" s="71"/>
    </row>
    <row r="11" spans="1:4" x14ac:dyDescent="0.25">
      <c r="A11" s="56"/>
      <c r="B11" s="74"/>
      <c r="C11" s="72"/>
      <c r="D11" s="71"/>
    </row>
    <row r="12" spans="1:4" x14ac:dyDescent="0.25">
      <c r="A12" s="56"/>
      <c r="B12" s="74"/>
      <c r="C12" s="72"/>
      <c r="D12" s="71"/>
    </row>
    <row r="13" spans="1:4" x14ac:dyDescent="0.25">
      <c r="A13" s="56"/>
      <c r="B13" s="93"/>
      <c r="C13" s="72"/>
      <c r="D13" s="71"/>
    </row>
    <row r="14" spans="1:4" x14ac:dyDescent="0.25">
      <c r="A14" s="56"/>
      <c r="B14" s="56"/>
      <c r="C14" s="72"/>
      <c r="D14" s="71"/>
    </row>
    <row r="15" spans="1:4" x14ac:dyDescent="0.25">
      <c r="A15" s="56"/>
      <c r="B15" s="74"/>
      <c r="C15" s="72"/>
      <c r="D15" s="56"/>
    </row>
    <row r="16" spans="1:4" x14ac:dyDescent="0.25">
      <c r="A16" s="94"/>
      <c r="B16" s="95"/>
      <c r="C16" s="72"/>
      <c r="D16" s="94"/>
    </row>
    <row r="17" spans="1:4" x14ac:dyDescent="0.25">
      <c r="A17" s="94"/>
      <c r="B17" s="95"/>
      <c r="C17" s="72"/>
      <c r="D17" s="94"/>
    </row>
    <row r="18" spans="1:4" x14ac:dyDescent="0.25">
      <c r="A18" s="94"/>
      <c r="B18" s="95"/>
      <c r="C18" s="72"/>
      <c r="D18" s="94"/>
    </row>
    <row r="19" spans="1:4" x14ac:dyDescent="0.25">
      <c r="A19" s="94"/>
      <c r="B19" s="95"/>
      <c r="C19" s="72"/>
      <c r="D19" s="94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07B810760AB47A97C5ADA30BA957A" ma:contentTypeVersion="0" ma:contentTypeDescription="Een nieuw document maken." ma:contentTypeScope="" ma:versionID="ac0168f9421f04c2480e95aaefa05f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38121-1ADB-4162-A982-9F4A9362840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19C2D5-608E-451F-A867-175E4E865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F18E4-C5A5-4ADC-880D-23F66CC12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36</vt:i4>
      </vt:variant>
    </vt:vector>
  </HeadingPairs>
  <TitlesOfParts>
    <vt:vector size="46" baseType="lpstr">
      <vt:lpstr>Primo</vt:lpstr>
      <vt:lpstr>Ultimo (VCR)</vt:lpstr>
      <vt:lpstr>Ultimo (Zeevisserij)</vt:lpstr>
      <vt:lpstr>Ultimo (ASF)</vt:lpstr>
      <vt:lpstr>Tijdvakken</vt:lpstr>
      <vt:lpstr>Parameters</vt:lpstr>
      <vt:lpstr>Staffels</vt:lpstr>
      <vt:lpstr>Regelingselectie</vt:lpstr>
      <vt:lpstr>Versiebeheer</vt:lpstr>
      <vt:lpstr>Toelichting</vt:lpstr>
      <vt:lpstr>ASFFranchise</vt:lpstr>
      <vt:lpstr>ASFMaxDuur</vt:lpstr>
      <vt:lpstr>ASFMaxLoon</vt:lpstr>
      <vt:lpstr>ASFPremiePercentage</vt:lpstr>
      <vt:lpstr>ASFregeling</vt:lpstr>
      <vt:lpstr>ASFTijdvakkenMax</vt:lpstr>
      <vt:lpstr>ASFWGafW</vt:lpstr>
      <vt:lpstr>ASRTijdvakkenMax</vt:lpstr>
      <vt:lpstr>PFranchise</vt:lpstr>
      <vt:lpstr>PMaxDuur</vt:lpstr>
      <vt:lpstr>PMaxLoon</vt:lpstr>
      <vt:lpstr>PPremiePercentage</vt:lpstr>
      <vt:lpstr>PRegeling</vt:lpstr>
      <vt:lpstr>PTijdvakkenMax</vt:lpstr>
      <vt:lpstr>PWGafw</vt:lpstr>
      <vt:lpstr>Regelingen</vt:lpstr>
      <vt:lpstr>RegPrimo</vt:lpstr>
      <vt:lpstr>RegUltimoASF</vt:lpstr>
      <vt:lpstr>RegUltimoVCR</vt:lpstr>
      <vt:lpstr>RegUltimoZeevis</vt:lpstr>
      <vt:lpstr>TabelTijdvak</vt:lpstr>
      <vt:lpstr>'Ultimo (VCR)'!UPFranchise</vt:lpstr>
      <vt:lpstr>'Ultimo (VCR)'!UPMaxDuur</vt:lpstr>
      <vt:lpstr>'Ultimo (VCR)'!UPMaxLoon</vt:lpstr>
      <vt:lpstr>'Ultimo (VCR)'!UPNormWeek</vt:lpstr>
      <vt:lpstr>'Ultimo (VCR)'!UPPremiePercentage</vt:lpstr>
      <vt:lpstr>UPRegeling</vt:lpstr>
      <vt:lpstr>'Ultimo (VCR)'!UPTijdvakkenMax</vt:lpstr>
      <vt:lpstr>UPWGafw</vt:lpstr>
      <vt:lpstr>ZFranchise</vt:lpstr>
      <vt:lpstr>ZMaxDuur</vt:lpstr>
      <vt:lpstr>ZMaxLoon</vt:lpstr>
      <vt:lpstr>ZPremiePercentage</vt:lpstr>
      <vt:lpstr>ZRegeling</vt:lpstr>
      <vt:lpstr>ZTijdvakkenMax</vt:lpstr>
      <vt:lpstr>ZWGafw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Siebe de Korte</dc:creator>
  <cp:lastModifiedBy>Arjan van Dongen</cp:lastModifiedBy>
  <cp:lastPrinted>2018-08-24T14:10:20Z</cp:lastPrinted>
  <dcterms:created xsi:type="dcterms:W3CDTF">2017-05-07T06:44:50Z</dcterms:created>
  <dcterms:modified xsi:type="dcterms:W3CDTF">2025-01-21T13:05:11Z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0x0101007C207B810760AB47A97C5ADA30BA957A</vt:lpwstr>
  </property>
</Properties>
</file>